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mruiz\Documents\libroContabilidadGestionInteruniversitario\pruebascapitulo9\"/>
    </mc:Choice>
  </mc:AlternateContent>
  <bookViews>
    <workbookView xWindow="0" yWindow="0" windowWidth="20490" windowHeight="7155" activeTab="2"/>
  </bookViews>
  <sheets>
    <sheet name="Enunciado" sheetId="6" r:id="rId1"/>
    <sheet name="Solución 1-2" sheetId="7" r:id="rId2"/>
    <sheet name="Solución 3" sheetId="8" r:id="rId3"/>
    <sheet name="Solución 4" sheetId="9" r:id="rId4"/>
    <sheet name="Solución 5" sheetId="10" r:id="rId5"/>
  </sheets>
  <definedNames>
    <definedName name="_xlnm.Print_Area" localSheetId="0">Enunciado!$A$1:$F$38</definedName>
  </definedNames>
  <calcPr calcId="152511"/>
</workbook>
</file>

<file path=xl/calcChain.xml><?xml version="1.0" encoding="utf-8"?>
<calcChain xmlns="http://schemas.openxmlformats.org/spreadsheetml/2006/main">
  <c r="E9" i="10" l="1"/>
  <c r="G9" i="10" s="1"/>
  <c r="B3" i="10"/>
  <c r="B2" i="10"/>
  <c r="G31" i="9"/>
  <c r="C31" i="9"/>
  <c r="I31" i="9" s="1"/>
  <c r="G27" i="9"/>
  <c r="E27" i="9" s="1"/>
  <c r="C27" i="9"/>
  <c r="I27" i="9" s="1"/>
  <c r="G22" i="9"/>
  <c r="G40" i="9" s="1"/>
  <c r="G18" i="9"/>
  <c r="G36" i="9" s="1"/>
  <c r="G14" i="9"/>
  <c r="G13" i="9"/>
  <c r="E13" i="9" s="1"/>
  <c r="C13" i="9"/>
  <c r="C21" i="9" s="1"/>
  <c r="G10" i="9"/>
  <c r="G28" i="9" s="1"/>
  <c r="G9" i="9"/>
  <c r="E9" i="9" s="1"/>
  <c r="C9" i="9"/>
  <c r="C9" i="10" s="1"/>
  <c r="B3" i="9"/>
  <c r="B2" i="9"/>
  <c r="G25" i="8"/>
  <c r="G23" i="8"/>
  <c r="E23" i="8" s="1"/>
  <c r="E35" i="9" s="1"/>
  <c r="G21" i="8"/>
  <c r="G19" i="8"/>
  <c r="E19" i="8" s="1"/>
  <c r="G15" i="8"/>
  <c r="G13" i="8"/>
  <c r="G17" i="9" s="1"/>
  <c r="G19" i="9" s="1"/>
  <c r="E13" i="8"/>
  <c r="E17" i="9" s="1"/>
  <c r="G11" i="8"/>
  <c r="C10" i="8"/>
  <c r="C20" i="8" s="1"/>
  <c r="G9" i="8"/>
  <c r="E9" i="8" s="1"/>
  <c r="B3" i="8"/>
  <c r="B2" i="8"/>
  <c r="B3" i="7"/>
  <c r="B2" i="7"/>
  <c r="G14" i="8" l="1"/>
  <c r="G24" i="8" s="1"/>
  <c r="G35" i="9"/>
  <c r="G37" i="9" s="1"/>
  <c r="G16" i="8"/>
  <c r="H31" i="9"/>
  <c r="C39" i="9"/>
  <c r="C19" i="10"/>
  <c r="E10" i="8"/>
  <c r="E20" i="8" s="1"/>
  <c r="E21" i="8" s="1"/>
  <c r="F21" i="8" s="1"/>
  <c r="G15" i="9"/>
  <c r="H27" i="9"/>
  <c r="G39" i="9"/>
  <c r="G41" i="9" s="1"/>
  <c r="G10" i="8"/>
  <c r="G26" i="8"/>
  <c r="G27" i="8" s="1"/>
  <c r="G29" i="9"/>
  <c r="H9" i="10"/>
  <c r="I9" i="10"/>
  <c r="I21" i="9"/>
  <c r="E21" i="9"/>
  <c r="I13" i="9"/>
  <c r="G21" i="9"/>
  <c r="G23" i="9" s="1"/>
  <c r="E31" i="9"/>
  <c r="I9" i="9"/>
  <c r="H13" i="9"/>
  <c r="G11" i="9"/>
  <c r="H9" i="9"/>
  <c r="G32" i="9"/>
  <c r="G33" i="9" s="1"/>
  <c r="I39" i="9"/>
  <c r="H39" i="9" l="1"/>
  <c r="G42" i="9"/>
  <c r="G20" i="8"/>
  <c r="I10" i="8"/>
  <c r="E11" i="8"/>
  <c r="F11" i="8" s="1"/>
  <c r="G24" i="9"/>
  <c r="H21" i="9"/>
  <c r="H10" i="8"/>
  <c r="E39" i="9"/>
  <c r="G43" i="9"/>
  <c r="F30" i="7"/>
  <c r="D30" i="7"/>
  <c r="D15" i="7"/>
  <c r="F34" i="7" s="1"/>
  <c r="F37" i="7" s="1"/>
  <c r="C15" i="7"/>
  <c r="D34" i="7" s="1"/>
  <c r="D37" i="7" s="1"/>
  <c r="D12" i="7"/>
  <c r="F32" i="7" s="1"/>
  <c r="F36" i="7" s="1"/>
  <c r="C12" i="7"/>
  <c r="D32" i="7" s="1"/>
  <c r="D36" i="7" s="1"/>
  <c r="D33" i="7"/>
  <c r="D35" i="7" s="1"/>
  <c r="D23" i="7"/>
  <c r="C23" i="7"/>
  <c r="D21" i="7"/>
  <c r="C21" i="7"/>
  <c r="D19" i="7"/>
  <c r="C19" i="7"/>
  <c r="D9" i="7"/>
  <c r="F33" i="7" s="1"/>
  <c r="F35" i="7" s="1"/>
  <c r="D8" i="7"/>
  <c r="C8" i="7"/>
  <c r="C31" i="7"/>
  <c r="C30" i="7"/>
  <c r="H20" i="8" l="1"/>
  <c r="I20" i="8"/>
  <c r="C9" i="8"/>
  <c r="I9" i="8" s="1"/>
  <c r="C14" i="8"/>
  <c r="C24" i="8" s="1"/>
  <c r="H24" i="8" s="1"/>
  <c r="C19" i="8"/>
  <c r="C21" i="8" s="1"/>
  <c r="H19" i="8"/>
  <c r="E14" i="8"/>
  <c r="F31" i="7"/>
  <c r="D31" i="7"/>
  <c r="C16" i="7"/>
  <c r="E13" i="10" s="1"/>
  <c r="D13" i="7"/>
  <c r="E19" i="10" s="1"/>
  <c r="D16" i="7"/>
  <c r="E23" i="10" s="1"/>
  <c r="C10" i="7"/>
  <c r="C13" i="7"/>
  <c r="D10" i="7"/>
  <c r="E30" i="7"/>
  <c r="E8" i="7"/>
  <c r="G30" i="7"/>
  <c r="I19" i="8" l="1"/>
  <c r="I14" i="8"/>
  <c r="H14" i="8"/>
  <c r="G13" i="10"/>
  <c r="G19" i="10"/>
  <c r="G23" i="10"/>
  <c r="C23" i="8"/>
  <c r="C35" i="9" s="1"/>
  <c r="C23" i="10" s="1"/>
  <c r="C13" i="8"/>
  <c r="C17" i="9" s="1"/>
  <c r="C13" i="10" s="1"/>
  <c r="C11" i="8"/>
  <c r="D11" i="8" s="1"/>
  <c r="H9" i="8"/>
  <c r="H17" i="9"/>
  <c r="E24" i="8"/>
  <c r="E25" i="8" s="1"/>
  <c r="E15" i="8"/>
  <c r="D21" i="8"/>
  <c r="H21" i="8"/>
  <c r="I21" i="8"/>
  <c r="I24" i="8"/>
  <c r="I11" i="8"/>
  <c r="H23" i="8"/>
  <c r="G31" i="7"/>
  <c r="E31" i="7"/>
  <c r="E10" i="7"/>
  <c r="C22" i="7" s="1"/>
  <c r="C14" i="9" s="1"/>
  <c r="E16" i="7"/>
  <c r="G14" i="10" s="1"/>
  <c r="G24" i="10" s="1"/>
  <c r="E13" i="7"/>
  <c r="G10" i="10" s="1"/>
  <c r="I13" i="8" l="1"/>
  <c r="I17" i="9"/>
  <c r="H13" i="8"/>
  <c r="C15" i="8"/>
  <c r="H15" i="8" s="1"/>
  <c r="H35" i="9"/>
  <c r="I23" i="8"/>
  <c r="I35" i="9"/>
  <c r="C25" i="8"/>
  <c r="C26" i="8" s="1"/>
  <c r="D26" i="8" s="1"/>
  <c r="G15" i="10"/>
  <c r="H13" i="10"/>
  <c r="I13" i="10"/>
  <c r="H19" i="10"/>
  <c r="I19" i="10"/>
  <c r="G20" i="10"/>
  <c r="G21" i="10" s="1"/>
  <c r="G11" i="10"/>
  <c r="H11" i="8"/>
  <c r="G25" i="10"/>
  <c r="H23" i="10"/>
  <c r="I23" i="10"/>
  <c r="E14" i="9"/>
  <c r="E15" i="9" s="1"/>
  <c r="F15" i="9" s="1"/>
  <c r="C32" i="9"/>
  <c r="H14" i="9"/>
  <c r="I14" i="9"/>
  <c r="C15" i="9"/>
  <c r="F25" i="8"/>
  <c r="E26" i="8"/>
  <c r="F26" i="8" s="1"/>
  <c r="F15" i="8"/>
  <c r="E16" i="8"/>
  <c r="C16" i="8"/>
  <c r="C33" i="7"/>
  <c r="E33" i="7" s="1"/>
  <c r="D22" i="7"/>
  <c r="C22" i="9" s="1"/>
  <c r="D24" i="7"/>
  <c r="C14" i="10" s="1"/>
  <c r="C15" i="10" s="1"/>
  <c r="D20" i="7"/>
  <c r="C18" i="9" s="1"/>
  <c r="C24" i="7"/>
  <c r="C10" i="10" s="1"/>
  <c r="C20" i="7"/>
  <c r="C10" i="9" s="1"/>
  <c r="I15" i="8" l="1"/>
  <c r="I26" i="8"/>
  <c r="D15" i="8"/>
  <c r="H26" i="8"/>
  <c r="H25" i="8"/>
  <c r="D25" i="8"/>
  <c r="I25" i="8"/>
  <c r="H15" i="10"/>
  <c r="I15" i="10"/>
  <c r="H10" i="10"/>
  <c r="I10" i="10"/>
  <c r="C20" i="10"/>
  <c r="E10" i="10"/>
  <c r="E11" i="10" s="1"/>
  <c r="C11" i="10"/>
  <c r="G29" i="10"/>
  <c r="G28" i="10"/>
  <c r="G16" i="10"/>
  <c r="G26" i="10"/>
  <c r="C24" i="10"/>
  <c r="E14" i="10"/>
  <c r="E15" i="10" s="1"/>
  <c r="H14" i="10"/>
  <c r="I14" i="10"/>
  <c r="E32" i="9"/>
  <c r="E33" i="9" s="1"/>
  <c r="F33" i="9" s="1"/>
  <c r="H32" i="9"/>
  <c r="I32" i="9"/>
  <c r="C33" i="9"/>
  <c r="E22" i="9"/>
  <c r="E23" i="9" s="1"/>
  <c r="F23" i="9" s="1"/>
  <c r="C40" i="9"/>
  <c r="H22" i="9"/>
  <c r="I22" i="9"/>
  <c r="C23" i="9"/>
  <c r="H10" i="9"/>
  <c r="I10" i="9"/>
  <c r="E10" i="9"/>
  <c r="E11" i="9" s="1"/>
  <c r="C28" i="9"/>
  <c r="C11" i="9"/>
  <c r="C36" i="9"/>
  <c r="H18" i="9"/>
  <c r="I18" i="9"/>
  <c r="E18" i="9"/>
  <c r="E19" i="9" s="1"/>
  <c r="F19" i="9" s="1"/>
  <c r="C19" i="9"/>
  <c r="I15" i="9"/>
  <c r="H15" i="9"/>
  <c r="D15" i="9"/>
  <c r="E27" i="8"/>
  <c r="F27" i="8" s="1"/>
  <c r="F16" i="8"/>
  <c r="C27" i="8"/>
  <c r="H16" i="8"/>
  <c r="D16" i="8"/>
  <c r="I16" i="8"/>
  <c r="G33" i="7"/>
  <c r="C37" i="7"/>
  <c r="G37" i="7" s="1"/>
  <c r="C36" i="7"/>
  <c r="G36" i="7" s="1"/>
  <c r="C34" i="7"/>
  <c r="E34" i="7" s="1"/>
  <c r="C35" i="7"/>
  <c r="G35" i="7" s="1"/>
  <c r="C32" i="7"/>
  <c r="G32" i="7" s="1"/>
  <c r="F15" i="10" l="1"/>
  <c r="E16" i="10"/>
  <c r="F11" i="10"/>
  <c r="I11" i="10"/>
  <c r="C16" i="10"/>
  <c r="D11" i="10"/>
  <c r="H11" i="10"/>
  <c r="G27" i="10"/>
  <c r="D15" i="10"/>
  <c r="E24" i="10"/>
  <c r="E25" i="10" s="1"/>
  <c r="F25" i="10" s="1"/>
  <c r="H24" i="10"/>
  <c r="I24" i="10"/>
  <c r="C25" i="10"/>
  <c r="H20" i="10"/>
  <c r="I20" i="10"/>
  <c r="C21" i="10"/>
  <c r="C28" i="10" s="1"/>
  <c r="E20" i="10"/>
  <c r="E21" i="10" s="1"/>
  <c r="E28" i="9"/>
  <c r="E29" i="9" s="1"/>
  <c r="H28" i="9"/>
  <c r="I28" i="9"/>
  <c r="C29" i="9"/>
  <c r="I11" i="9"/>
  <c r="H11" i="9"/>
  <c r="D11" i="9"/>
  <c r="C24" i="9"/>
  <c r="I40" i="9"/>
  <c r="C41" i="9"/>
  <c r="E40" i="9"/>
  <c r="E41" i="9" s="1"/>
  <c r="F41" i="9" s="1"/>
  <c r="H40" i="9"/>
  <c r="E36" i="9"/>
  <c r="E37" i="9" s="1"/>
  <c r="F37" i="9" s="1"/>
  <c r="H36" i="9"/>
  <c r="I36" i="9"/>
  <c r="C37" i="9"/>
  <c r="D23" i="9"/>
  <c r="H23" i="9"/>
  <c r="I23" i="9"/>
  <c r="H19" i="9"/>
  <c r="I19" i="9"/>
  <c r="D19" i="9"/>
  <c r="E24" i="9"/>
  <c r="F11" i="9"/>
  <c r="D33" i="9"/>
  <c r="H33" i="9"/>
  <c r="I33" i="9"/>
  <c r="H27" i="8"/>
  <c r="D27" i="8"/>
  <c r="I27" i="8"/>
  <c r="E36" i="7"/>
  <c r="E37" i="7"/>
  <c r="E35" i="7"/>
  <c r="G34" i="7"/>
  <c r="G38" i="7" s="1"/>
  <c r="E32" i="7"/>
  <c r="H21" i="10" l="1"/>
  <c r="I21" i="10"/>
  <c r="C26" i="10"/>
  <c r="C27" i="10" s="1"/>
  <c r="D21" i="10"/>
  <c r="E29" i="10"/>
  <c r="F29" i="10" s="1"/>
  <c r="I28" i="10"/>
  <c r="H28" i="10"/>
  <c r="H16" i="10"/>
  <c r="I16" i="10"/>
  <c r="D16" i="10"/>
  <c r="E26" i="10"/>
  <c r="F26" i="10" s="1"/>
  <c r="F21" i="10"/>
  <c r="H25" i="10"/>
  <c r="I25" i="10"/>
  <c r="D25" i="10"/>
  <c r="C29" i="10"/>
  <c r="F16" i="10"/>
  <c r="E28" i="10"/>
  <c r="F28" i="10" s="1"/>
  <c r="F24" i="9"/>
  <c r="D37" i="9"/>
  <c r="H37" i="9"/>
  <c r="I37" i="9"/>
  <c r="H24" i="9"/>
  <c r="I24" i="9"/>
  <c r="D24" i="9"/>
  <c r="E42" i="9"/>
  <c r="F42" i="9" s="1"/>
  <c r="F29" i="9"/>
  <c r="D41" i="9"/>
  <c r="H41" i="9"/>
  <c r="I41" i="9"/>
  <c r="C42" i="9"/>
  <c r="H29" i="9"/>
  <c r="I29" i="9"/>
  <c r="D29" i="9"/>
  <c r="E38" i="7"/>
  <c r="E27" i="10" l="1"/>
  <c r="F27" i="10" s="1"/>
  <c r="D29" i="10"/>
  <c r="H29" i="10"/>
  <c r="I29" i="10"/>
  <c r="H26" i="10"/>
  <c r="I26" i="10"/>
  <c r="D26" i="10"/>
  <c r="H27" i="10"/>
  <c r="I27" i="10"/>
  <c r="D28" i="10"/>
  <c r="D42" i="9"/>
  <c r="H42" i="9"/>
  <c r="I42" i="9"/>
  <c r="E43" i="9"/>
  <c r="F43" i="9" s="1"/>
  <c r="C43" i="9"/>
  <c r="D27" i="10" l="1"/>
  <c r="D43" i="9"/>
  <c r="H43" i="9"/>
  <c r="I43" i="9"/>
</calcChain>
</file>

<file path=xl/sharedStrings.xml><?xml version="1.0" encoding="utf-8"?>
<sst xmlns="http://schemas.openxmlformats.org/spreadsheetml/2006/main" count="200" uniqueCount="121">
  <si>
    <t>MC</t>
  </si>
  <si>
    <t>Total</t>
  </si>
  <si>
    <t>Madera de haya</t>
  </si>
  <si>
    <t>Mano de obra directa</t>
  </si>
  <si>
    <t>MA</t>
  </si>
  <si>
    <t>Total costes directos</t>
  </si>
  <si>
    <t>Análisis de desviaciones en Tablesur</t>
  </si>
  <si>
    <t>Tabla 1. Precios y cantidades estándares</t>
  </si>
  <si>
    <t>Tabla 2. Costes estándares</t>
  </si>
  <si>
    <t>Mano de obra directa (€/hora)</t>
  </si>
  <si>
    <t>Tabla 3. Presupuestos de los departamentos</t>
  </si>
  <si>
    <t>Departamento de trabajos mecánicos (DTM)</t>
  </si>
  <si>
    <t>Departamento de montaje y acabado (DMA)</t>
  </si>
  <si>
    <t>DTM</t>
  </si>
  <si>
    <t>DMA</t>
  </si>
  <si>
    <t>Tiempo estándar de proceso (horas-máquina/ud.)</t>
  </si>
  <si>
    <t>Tiempo estándar de proceso (horas-hombre/ud.)</t>
  </si>
  <si>
    <t>Concepto</t>
  </si>
  <si>
    <t>Producción y ventas presupuestadas (unidades)</t>
  </si>
  <si>
    <t>Producción y ventas reales (unidades)</t>
  </si>
  <si>
    <t>Tamaño medio de lote (unidades)</t>
  </si>
  <si>
    <t>Costes variables a nivel de lote del DTM</t>
  </si>
  <si>
    <t>Costes variables a nivel unitario del DTM</t>
  </si>
  <si>
    <t>Costes variables a nivel unitario del DMA</t>
  </si>
  <si>
    <t>Costes variables a nivel de lote del DMA</t>
  </si>
  <si>
    <t>Costes fijos</t>
  </si>
  <si>
    <t>Presupuesto
flexible</t>
  </si>
  <si>
    <t>Mesa de centro (MC)</t>
  </si>
  <si>
    <t>Mesa auxiliar (MA)</t>
  </si>
  <si>
    <t>Cantidad</t>
  </si>
  <si>
    <t>C.U. input</t>
  </si>
  <si>
    <t>C.U. prod.</t>
  </si>
  <si>
    <t>Costes fijos de fabricación del DTM</t>
  </si>
  <si>
    <t>Costes fijos de fabricación del DMA</t>
  </si>
  <si>
    <t>Coste total de fabricación por unidad</t>
  </si>
  <si>
    <t>Producción presupuestada</t>
  </si>
  <si>
    <t>Tamaños de lote presupuestados</t>
  </si>
  <si>
    <t>Tamaño de lote presupuestado (unidades)</t>
  </si>
  <si>
    <t>Número de lotes presupuestado</t>
  </si>
  <si>
    <t>Tiempo estándar de proceso (h-m/ud.)</t>
  </si>
  <si>
    <t>Tiempo total presupuestado (h-m)</t>
  </si>
  <si>
    <t>Tiempo estándar de proceso (h-h/ud.)</t>
  </si>
  <si>
    <t>Tiempo total presupuestado (h-h)</t>
  </si>
  <si>
    <t>Cálculo del nivel de actividad presupuestado</t>
  </si>
  <si>
    <t>Costes variables a nivel unitario</t>
  </si>
  <si>
    <t>Tasa de costes variables por hora</t>
  </si>
  <si>
    <t>Costes variables por lote</t>
  </si>
  <si>
    <t>Tasa de costes variables por lote</t>
  </si>
  <si>
    <t>Tasa de costes fijos por hora</t>
  </si>
  <si>
    <t>Materiales indirectos</t>
  </si>
  <si>
    <t>Mano de obra indirecta</t>
  </si>
  <si>
    <t>Suministros y servicios de fábrica</t>
  </si>
  <si>
    <t>Otros costes variables a nivel unitario</t>
  </si>
  <si>
    <t>Costes variables de configuración</t>
  </si>
  <si>
    <t>Desviación en eficiencia</t>
  </si>
  <si>
    <t>Cant. real a cte. estándar</t>
  </si>
  <si>
    <t>Coste de materiales directos</t>
  </si>
  <si>
    <r>
      <t>Consumo real de madera de haya (dm</t>
    </r>
    <r>
      <rPr>
        <vertAlign val="superscript"/>
        <sz val="12"/>
        <color theme="1"/>
        <rFont val="Calibri"/>
        <family val="2"/>
        <scheme val="minor"/>
      </rPr>
      <t>3</t>
    </r>
    <r>
      <rPr>
        <sz val="12"/>
        <color theme="1"/>
        <rFont val="Calibri"/>
        <family val="2"/>
        <scheme val="minor"/>
      </rPr>
      <t>)</t>
    </r>
  </si>
  <si>
    <t>Coste real de la madera de haya consumida</t>
  </si>
  <si>
    <t>Coste de mano de obra directa</t>
  </si>
  <si>
    <t>Tiempo real de la mano de obra directa (h-h)</t>
  </si>
  <si>
    <t>Coste real de la mano de obra directa</t>
  </si>
  <si>
    <t>Desviación en uso/eficiencia</t>
  </si>
  <si>
    <t>Desviación
en precio/tasa</t>
  </si>
  <si>
    <t>Desviación
en gasto</t>
  </si>
  <si>
    <t>Desviación pres. flexible</t>
  </si>
  <si>
    <t>Total costes directos MC</t>
  </si>
  <si>
    <t>Total costes directos MA</t>
  </si>
  <si>
    <t>Consumo permitido / real de madera de haya</t>
  </si>
  <si>
    <t>Coste total permitido / real de madera de haya</t>
  </si>
  <si>
    <t>Tiempo permitido / real de mano de obra directa</t>
  </si>
  <si>
    <t>Coste total permitido / real de MO directa</t>
  </si>
  <si>
    <t>Precio unitario estándar / real</t>
  </si>
  <si>
    <t>Tiempo permitido / real de maquinaria</t>
  </si>
  <si>
    <t>Tasa unitaria estándar / real</t>
  </si>
  <si>
    <t>DTM (h-m)</t>
  </si>
  <si>
    <t>DMA (h-h)</t>
  </si>
  <si>
    <t>Número de lotes estándares / reales</t>
  </si>
  <si>
    <t>Costes variables nivel unitario permitidos / reales</t>
  </si>
  <si>
    <t>Costes variables nivel de lote permitidos / reales</t>
  </si>
  <si>
    <t>Tiempo permitido / real de mano de obra</t>
  </si>
  <si>
    <t>Total costes indirectos de fabricación variables MC</t>
  </si>
  <si>
    <t>Total costes indirectos de fabricación variables MA</t>
  </si>
  <si>
    <t>Total costes indirectos de fabricación variables</t>
  </si>
  <si>
    <t>Costes reales de los departamentos</t>
  </si>
  <si>
    <t>Datos
reales</t>
  </si>
  <si>
    <t>Costes fijos reales</t>
  </si>
  <si>
    <t>Costes variables a nivel unitario reales</t>
  </si>
  <si>
    <t>Costes variables a nivel de lote reales</t>
  </si>
  <si>
    <t>Tiempo real de proceso en el DTM (h-m)</t>
  </si>
  <si>
    <t>Tiempo real de proceso en el DMA (h-h)</t>
  </si>
  <si>
    <t>Importes aplicados</t>
  </si>
  <si>
    <t>Desviación en vol. producc.</t>
  </si>
  <si>
    <t>Importes presupuest.</t>
  </si>
  <si>
    <t>Diferencia de aplicación</t>
  </si>
  <si>
    <t>Costes fijos aplicados / presupuestados / reales</t>
  </si>
  <si>
    <t>Costes fijos de DTM</t>
  </si>
  <si>
    <t>Costes fijos de DMA</t>
  </si>
  <si>
    <t>Total costes fijos MC</t>
  </si>
  <si>
    <t>Total costes fijos MA</t>
  </si>
  <si>
    <t>Total costes fijos DTM</t>
  </si>
  <si>
    <t>Total costes fijos</t>
  </si>
  <si>
    <t>Total costes fijos DMA</t>
  </si>
  <si>
    <t>© 2015 – Francisco López Cruces</t>
  </si>
  <si>
    <r>
      <t>Cantidad estándar de madera de haya (dm</t>
    </r>
    <r>
      <rPr>
        <vertAlign val="superscript"/>
        <sz val="12"/>
        <color theme="1"/>
        <rFont val="Calibri"/>
        <family val="2"/>
        <scheme val="minor"/>
      </rPr>
      <t>3</t>
    </r>
    <r>
      <rPr>
        <sz val="12"/>
        <color theme="1"/>
        <rFont val="Calibri"/>
        <family val="2"/>
        <scheme val="minor"/>
      </rPr>
      <t>/ud.)</t>
    </r>
  </si>
  <si>
    <r>
      <t>Madera de haya (€/dm</t>
    </r>
    <r>
      <rPr>
        <vertAlign val="superscript"/>
        <sz val="12"/>
        <color theme="1"/>
        <rFont val="Calibri"/>
        <family val="2"/>
        <scheme val="minor"/>
      </rPr>
      <t>3</t>
    </r>
    <r>
      <rPr>
        <sz val="12"/>
        <color theme="1"/>
        <rFont val="Calibri"/>
        <family val="2"/>
        <scheme val="minor"/>
      </rPr>
      <t>)</t>
    </r>
  </si>
  <si>
    <t>%</t>
  </si>
  <si>
    <t>Tabla 4. Resultados reales de marzo de 2015</t>
  </si>
  <si>
    <r>
      <t xml:space="preserve">Tanto la </t>
    </r>
    <r>
      <rPr>
        <b/>
        <sz val="12"/>
        <color theme="1"/>
        <rFont val="Calibri"/>
        <family val="2"/>
        <scheme val="minor"/>
      </rPr>
      <t>desviación en precio</t>
    </r>
    <r>
      <rPr>
        <sz val="12"/>
        <color theme="1"/>
        <rFont val="Calibri"/>
        <family val="2"/>
        <scheme val="minor"/>
      </rPr>
      <t xml:space="preserve"> de la madera de haya como la </t>
    </r>
    <r>
      <rPr>
        <b/>
        <sz val="12"/>
        <color theme="1"/>
        <rFont val="Calibri"/>
        <family val="2"/>
        <scheme val="minor"/>
      </rPr>
      <t>desviación en la tasa</t>
    </r>
    <r>
      <rPr>
        <sz val="12"/>
        <color theme="1"/>
        <rFont val="Calibri"/>
        <family val="2"/>
        <scheme val="minor"/>
      </rPr>
      <t xml:space="preserve"> de mano de obra directa son desfavorables, lo que indica que durante el mes de marzo se ha pagado un importe superior al presupuestado por ambos inputs. La desviación es más significativa en el caso de la materia prima, si bien puede considerarse dentro de unos límites aceptables, pues solo ha contribuido con un 0,75% al aumento del coste de este input. Menos importancia relativa tiene aún la desviación en la tasa de mano de obra directa, que está en torno al 0,59%.
En el caso de la madera de haya, que se supone de una calidad homogénea, puede que los precios del mes de marzo hayan estado por encima de la media anual, o que la evolución real de los precios no coincida con la planeada. Para el coste de la mano de obra directa puede haber una causa adicional de la desviación, en el supuesto de que la tasa presupuestada sea un coste medio que englobe personal de diferentes categorías profesionales. En este caso, la mezcla real de categorías usada en el proceso de las mesas puede diferir de la presupuestada, lo que explicaría la existencia de desviaciones. De todas formas, la falta de materialidad de la desviación de marzo hace innecesaria cualquier investigación adicional.</t>
    </r>
  </si>
  <si>
    <r>
      <t xml:space="preserve">Las </t>
    </r>
    <r>
      <rPr>
        <b/>
        <sz val="12"/>
        <color theme="1"/>
        <rFont val="Calibri"/>
        <family val="2"/>
        <scheme val="minor"/>
      </rPr>
      <t>desviaciones en uso o eficiencia</t>
    </r>
    <r>
      <rPr>
        <sz val="12"/>
        <color theme="1"/>
        <rFont val="Calibri"/>
        <family val="2"/>
        <scheme val="minor"/>
      </rPr>
      <t xml:space="preserve"> muestran resultados diferentes para cada tipo de mesa. Tanto en el uso de la madera como en el del tiempo de mano de obra directa, que corresponde al departamento de montaje y acabado,  las desviaciones son favorables en el proceso de la mesa de centro, pero desfavorables en el de la mesa auxiliar. La eficiencia al procesar las mesas de centro ha permitido ahorrar un 1,5% del presupuesto flexible de madera y un 2,7% del de mano de obra directa, mientras que la falta de eficiencia al procesar la mesa auxiliar ha aumentado el coste de la madera en un 4,52% respecto al presupuesto flexible y en algo más de un 2% el coste de la mano de obra directa. Parece justificado investigar las causas de esta diferencia de comportamiento del proceso para cada modelo de mesa, que podrían residir en algún problema en la configuración de la línea para procesar los lotes de mesas auxiliares, o en algún tipo de desajuste entre el diseño de las operaciones de este tipo de mesa y el de la línea de proceso, mejor adaptada a la producción de la mesa de centro. El resultado sería un mayor desperdicio de madera y tiempos de mano de obra peores que los previstos en los procesos de montaje y acabado.</t>
    </r>
  </si>
  <si>
    <r>
      <t xml:space="preserve">Las </t>
    </r>
    <r>
      <rPr>
        <b/>
        <sz val="12"/>
        <color theme="1"/>
        <rFont val="Calibri"/>
        <family val="2"/>
        <scheme val="minor"/>
      </rPr>
      <t>desviaciones en gasto</t>
    </r>
    <r>
      <rPr>
        <sz val="12"/>
        <color theme="1"/>
        <rFont val="Calibri"/>
        <family val="2"/>
        <scheme val="minor"/>
      </rPr>
      <t xml:space="preserve"> se deben a la diferencia entre las tasas presupuestadas de costes variables a nivel unitario o de lote y las tasas reales calculadas en el mes de marzo para cada departamento. Por tanto, tienen el mismo impacto relativo en los costes de cada tipo de mesa.
La correspondiente a los </t>
    </r>
    <r>
      <rPr>
        <b/>
        <sz val="12"/>
        <color theme="1"/>
        <rFont val="Calibri"/>
        <family val="2"/>
        <scheme val="minor"/>
      </rPr>
      <t>costes variables a nivel unitario</t>
    </r>
    <r>
      <rPr>
        <sz val="12"/>
        <color theme="1"/>
        <rFont val="Calibri"/>
        <family val="2"/>
        <scheme val="minor"/>
      </rPr>
      <t xml:space="preserve"> del DTM ha supuesto un ahorro aproximado de un 1,04% en el coste asignado a las mesas por el tiempo de máquina realmente trabajado, lo que podría estar debido tanto a la caída de algunos precios de inputs, tales como la electricidad o los lubricantes de maquinaria, por debajo de lo presupuestado, como al menor consumo de alguno de ellos por hora-máquina, por ejemplo de los lubricantes o de la mano de obra indirecta de supervisión. En cambio, en el DMA la desviación es desfavorable, y ha ocasionado un aumento aproximado del 0,85% del coste asignado, cuyas causas serían análogas pero de sentido contrario a las comentadas antes para el DTM, si bien podrían estar también relacionadas con los problemas de funcionamiento de la línea en el proceso de la mesa auxiliar que apuntamos como hipótesis anteriormente.
Las correspondientes a los </t>
    </r>
    <r>
      <rPr>
        <b/>
        <sz val="12"/>
        <color theme="1"/>
        <rFont val="Calibri"/>
        <family val="2"/>
        <scheme val="minor"/>
      </rPr>
      <t>costes variables a nivel de lote</t>
    </r>
    <r>
      <rPr>
        <sz val="12"/>
        <color theme="1"/>
        <rFont val="Calibri"/>
        <family val="2"/>
        <scheme val="minor"/>
      </rPr>
      <t xml:space="preserve"> también muestran un comportamiento diferente en los dos departamentos, lo que no es extraño porque las operaciones de configuración de la maquinaria del DTM y las de los puestos de trabajo del DMA probablemente serán muy diferentes, como lo muestra la diferencia en sus respectivas tasas presupuestadas por lote. La desviación del DTM ha supuesto un aumento del 0,68% de los costes de configuración asignados y la del DMA un aumento del 1,99%, algo más significativo. Las causas de estas desviaciones pueden estar en un aumento de los costes unitarios de los recursos empleados en las operaciones de configuración con respecto a los presupuestados, como una mayor tasa horaria del personal de configuración, o también en unos mayores consumos de dichos recursos por cada lote configurado, como por ejemplo un mayor tiempo de configuración.</t>
    </r>
  </si>
  <si>
    <t>Tiempo permitido / presupuestado</t>
  </si>
  <si>
    <r>
      <t xml:space="preserve">Las </t>
    </r>
    <r>
      <rPr>
        <b/>
        <sz val="12"/>
        <color theme="1"/>
        <rFont val="Calibri"/>
        <family val="2"/>
        <scheme val="minor"/>
      </rPr>
      <t>desviaciones en gasto</t>
    </r>
    <r>
      <rPr>
        <sz val="12"/>
        <color theme="1"/>
        <rFont val="Calibri"/>
        <family val="2"/>
        <scheme val="minor"/>
      </rPr>
      <t xml:space="preserve"> para los costes fijos muestran la diferencia entre el importe presupuestado, suponiendo una distribución mensual a partes iguales del presupuesto anual, y el real de los costes fijos de cada departamento en el mes de marzo. Puesto que la distribución de los costes reales se hace en función de los tiempos permitidos para la producción mensual presupuestada y no en función de la actividad real, su origen suele estar en un comportamiento diferente del planeado de los precios de los inputs de esta categoría. Como antes, su impacto relativo en los costes fijos asignados a los dos tipos de mesa es el mismo. El coste fijo real registrado en el mes de marzo en el DTM es superior en un 1,91% a la cuota mensual presupuestada, lo que podría deberse a una evolución desfavorable del precio de algún recurso, como alquileres, cuota del servicio de mantenimiento de la maquinaria, o el salario de director del departamento, o también a una inadecuada periodificación de los costes registrados. En el DMA la desviación ha supuesto una reducción del 0,27%, poco importante y que puede explicarse de forma análoga pero de sentido inverso a la del DTM.
Las </t>
    </r>
    <r>
      <rPr>
        <b/>
        <sz val="12"/>
        <color theme="1"/>
        <rFont val="Calibri"/>
        <family val="2"/>
        <scheme val="minor"/>
      </rPr>
      <t>desviaciones en volumen de producción</t>
    </r>
    <r>
      <rPr>
        <sz val="12"/>
        <color theme="1"/>
        <rFont val="Calibri"/>
        <family val="2"/>
        <scheme val="minor"/>
      </rPr>
      <t xml:space="preserve"> indican la sobre o subaplicación de los costes fijos de los departamentos a las mesas, por la diferencia entre los tiempos permitidos para el volumen real de producción y para el volumen presupuestado. En ambos departamentos las mesas de centro presentan una desviación favorable, porque se ha fabricado un 9,91% más que la media mensual presupuestada, mientras que las mesas auxiliares presentan una desviación desfavorable por la caída del 7,14% de la producción de marzo con respecto a la media mensual.</t>
    </r>
  </si>
  <si>
    <t>En resumen, las dos clases de desviaciones tienen signo opuesto en el DTM, por lo que la diferencia de aplicación es muy poco importante (el coste fijo real del mes es un 0,26% superior al aplicado), mientras que en el DMA ambas son favorables y hacen que el coste fijo real sea un 2,17% más bajo que el aplicado a la producción.</t>
  </si>
  <si>
    <t>1. Cálculo de las tasas estándares (presupuestadas) de costes indirectos de los departamentos</t>
  </si>
  <si>
    <t>2. Cálculo de los costes estándares de fabricación por unidad de producto</t>
  </si>
  <si>
    <t>Cálculo de las tasas presupuestadas</t>
  </si>
  <si>
    <t>3. Cálculo y análisis de las desviaciones en costes directos</t>
  </si>
  <si>
    <t>4. Cálculo y análisis de las desviaciones en costes indirectos de fabricación variables</t>
  </si>
  <si>
    <r>
      <t xml:space="preserve">Las </t>
    </r>
    <r>
      <rPr>
        <b/>
        <sz val="12"/>
        <color theme="1"/>
        <rFont val="Calibri"/>
        <family val="2"/>
        <scheme val="minor"/>
      </rPr>
      <t>desviaciones en eficiencia</t>
    </r>
    <r>
      <rPr>
        <sz val="12"/>
        <color theme="1"/>
        <rFont val="Calibri"/>
        <family val="2"/>
        <scheme val="minor"/>
      </rPr>
      <t xml:space="preserve"> de los costes indirectos de fabricación variables a </t>
    </r>
    <r>
      <rPr>
        <b/>
        <sz val="12"/>
        <color theme="1"/>
        <rFont val="Calibri"/>
        <family val="2"/>
        <scheme val="minor"/>
      </rPr>
      <t>nivel unitario</t>
    </r>
    <r>
      <rPr>
        <sz val="12"/>
        <color theme="1"/>
        <rFont val="Calibri"/>
        <family val="2"/>
        <scheme val="minor"/>
      </rPr>
      <t xml:space="preserve"> solo miden la eficiencia en el uso de las bases de distribución de cada departamento para las dos clases de mesas. Nuevamente se observa un grado de cumplimiento desigual de los objetivos de rendimiento del DTM por tipo de mesa. Mientras que el uso de la maquinaria en la fabricación de la mesa de centro ha sido más eficiente de lo previsto, permitiendo ahorrar 18 horas-máquina en la producción de marzo (un 2,03%), en la fabricación de la mesa auxiliar se ha tardado 26 horas más de lo planeado (un 3,10% de exceso) para la producción real del mes. Nuevamente podría establecerse una hipótesis similar a la que se planteó al comentar las desviaciones en costes directos, es decir, que la línea se ha diseñado optimizando la fabricación de la mesa de centro, pero no se ajusta, a pesar de la configuración, al tratamiento óptimo planificado de la mesa auxiliar. Convendría, por tanto, investigar si es un tema de equilibrio de la línea o si alguna de las operaciones mecánicas en concreto es la causante de la desviación.
Las desviaciones en eficiencia de los costes indirectos de fabricación variables a </t>
    </r>
    <r>
      <rPr>
        <b/>
        <sz val="12"/>
        <color theme="1"/>
        <rFont val="Calibri"/>
        <family val="2"/>
        <scheme val="minor"/>
      </rPr>
      <t>nivel de lote</t>
    </r>
    <r>
      <rPr>
        <sz val="12"/>
        <color theme="1"/>
        <rFont val="Calibri"/>
        <family val="2"/>
        <scheme val="minor"/>
      </rPr>
      <t xml:space="preserve"> obedecen aquí exclusivamente a la diferencia entre los tamaños de lote presupuestado y real. Puesto que el tamaño real de lote de las mesas de centro ha coincidido con el presupuestado, no aparecen desviaciones en sus costes variables de esta categoría en ninguno de los dos departamentos. En cambio, el tamaño real medio de los lotes de la mesa auxiliar ha sido inferior al presupuestado, lo que ha obligado a configurar 7 lotes más de los necesarios para la producción de marzo, lo que ha incrementado los costes asignados por esta categoría en un 25%. Convendría averiguar cuáles han sido las circunstancias que han determinado un programa de producción de este modelo de mesas tan diferente de lo planeado, que podrían estar relacionadas con una demanda inferior a la esperada o con problemas de espacio en el almacén, entre otras causas posibles.</t>
    </r>
  </si>
  <si>
    <t>5. Cálculo y análisis de las desviaciones en costes indirectos de fabricación fijos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</si>
</sst>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00"/>
    <numFmt numFmtId="165" formatCode="#,##0.00\ &quot;€&quot;"/>
    <numFmt numFmtId="166" formatCode="#,##0\ &quot;€&quot;"/>
    <numFmt numFmtId="167" formatCode="#,##0.0000\ &quot;€&quot;"/>
    <numFmt numFmtId="168" formatCode="0.0"/>
    <numFmt numFmtId="169" formatCode="#,##0.0\ &quot;€&quot;"/>
    <numFmt numFmtId="170" formatCode="#,##0.000\ &quot;€&quot;"/>
    <numFmt numFmtId="171" formatCode="#,##0.0"/>
    <numFmt numFmtId="172" formatCode="0.0000"/>
    <numFmt numFmtId="173" formatCode="#,##0.00000\ &quot;€&quot;"/>
    <numFmt numFmtId="174" formatCode="0.000%"/>
    <numFmt numFmtId="175" formatCode="0.0000%"/>
  </numFmts>
  <fonts count="10" x14ac:knownFonts="1">
    <font>
      <sz val="12"/>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color theme="0"/>
      <name val="Calibri"/>
      <family val="2"/>
      <scheme val="minor"/>
    </font>
    <font>
      <b/>
      <sz val="14"/>
      <color theme="1"/>
      <name val="Calibri"/>
      <family val="2"/>
      <scheme val="minor"/>
    </font>
    <font>
      <b/>
      <sz val="18"/>
      <color theme="1"/>
      <name val="Calibri"/>
      <family val="2"/>
      <scheme val="minor"/>
    </font>
    <font>
      <vertAlign val="superscript"/>
      <sz val="12"/>
      <color theme="1"/>
      <name val="Calibri"/>
      <family val="2"/>
      <scheme val="minor"/>
    </font>
    <font>
      <b/>
      <i/>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theme="4" tint="0.59999389629810485"/>
        <bgColor indexed="65"/>
      </patternFill>
    </fill>
    <fill>
      <patternFill patternType="solid">
        <fgColor theme="4"/>
      </patternFill>
    </fill>
    <fill>
      <patternFill patternType="solid">
        <fgColor theme="4" tint="0.79998168889431442"/>
        <bgColor indexed="65"/>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5">
    <xf numFmtId="0" fontId="0" fillId="0" borderId="0"/>
    <xf numFmtId="0" fontId="1" fillId="2" borderId="0" applyNumberFormat="0" applyBorder="0" applyAlignment="0" applyProtection="0"/>
    <xf numFmtId="0" fontId="4" fillId="3" borderId="0" applyNumberFormat="0" applyBorder="0" applyAlignment="0" applyProtection="0"/>
    <xf numFmtId="0" fontId="1" fillId="4" borderId="0" applyNumberFormat="0" applyBorder="0" applyAlignment="0" applyProtection="0"/>
    <xf numFmtId="9" fontId="1" fillId="0" borderId="0" applyFont="0" applyFill="0" applyBorder="0" applyAlignment="0" applyProtection="0"/>
  </cellStyleXfs>
  <cellXfs count="125">
    <xf numFmtId="0" fontId="0" fillId="0" borderId="0" xfId="0"/>
    <xf numFmtId="164" fontId="0" fillId="0" borderId="0" xfId="0" applyNumberFormat="1"/>
    <xf numFmtId="3" fontId="0" fillId="0" borderId="0" xfId="0" applyNumberFormat="1"/>
    <xf numFmtId="165" fontId="0" fillId="0" borderId="0" xfId="0" applyNumberFormat="1"/>
    <xf numFmtId="0" fontId="0" fillId="0" borderId="0" xfId="0" applyFont="1" applyAlignment="1"/>
    <xf numFmtId="166" fontId="0" fillId="0" borderId="0" xfId="0" applyNumberFormat="1"/>
    <xf numFmtId="167" fontId="0" fillId="0" borderId="0" xfId="0" applyNumberFormat="1"/>
    <xf numFmtId="166" fontId="0" fillId="0" borderId="1" xfId="0" applyNumberFormat="1" applyBorder="1"/>
    <xf numFmtId="3" fontId="0" fillId="0" borderId="1" xfId="0" applyNumberFormat="1" applyBorder="1"/>
    <xf numFmtId="0" fontId="2" fillId="0" borderId="0" xfId="0" applyFont="1" applyAlignment="1">
      <alignment horizontal="center"/>
    </xf>
    <xf numFmtId="0" fontId="3" fillId="3" borderId="0" xfId="2" applyFont="1"/>
    <xf numFmtId="0" fontId="3" fillId="3" borderId="0" xfId="2" applyFont="1" applyAlignment="1">
      <alignment horizontal="center"/>
    </xf>
    <xf numFmtId="3" fontId="1" fillId="4" borderId="0" xfId="3" applyNumberFormat="1"/>
    <xf numFmtId="0" fontId="1" fillId="2" borderId="0" xfId="1"/>
    <xf numFmtId="0" fontId="1" fillId="4" borderId="0" xfId="3" applyNumberFormat="1"/>
    <xf numFmtId="0" fontId="2" fillId="0" borderId="1" xfId="0" applyFont="1" applyBorder="1" applyAlignment="1">
      <alignment horizontal="center"/>
    </xf>
    <xf numFmtId="0" fontId="0" fillId="0" borderId="0" xfId="0" quotePrefix="1"/>
    <xf numFmtId="2" fontId="0" fillId="0" borderId="0" xfId="0" applyNumberFormat="1"/>
    <xf numFmtId="0" fontId="3" fillId="3" borderId="0" xfId="2" applyFont="1" applyBorder="1"/>
    <xf numFmtId="0" fontId="3" fillId="3" borderId="0" xfId="2" applyFont="1" applyBorder="1" applyAlignment="1">
      <alignment horizontal="center"/>
    </xf>
    <xf numFmtId="0" fontId="0" fillId="4" borderId="0" xfId="3" applyFont="1" applyBorder="1"/>
    <xf numFmtId="0" fontId="1" fillId="4" borderId="0" xfId="3" applyBorder="1"/>
    <xf numFmtId="165" fontId="1" fillId="4" borderId="0" xfId="3" applyNumberFormat="1" applyBorder="1"/>
    <xf numFmtId="0" fontId="0" fillId="2" borderId="0" xfId="1" applyFont="1" applyBorder="1"/>
    <xf numFmtId="0" fontId="1" fillId="2" borderId="0" xfId="1" applyBorder="1"/>
    <xf numFmtId="0" fontId="1" fillId="4" borderId="0" xfId="3" applyNumberFormat="1" applyBorder="1"/>
    <xf numFmtId="0" fontId="0" fillId="4" borderId="0" xfId="3" applyFont="1" applyBorder="1" applyAlignment="1">
      <alignment horizontal="left" indent="1"/>
    </xf>
    <xf numFmtId="168" fontId="1" fillId="4" borderId="0" xfId="3" applyNumberFormat="1" applyBorder="1"/>
    <xf numFmtId="0" fontId="4" fillId="3" borderId="0" xfId="2"/>
    <xf numFmtId="3" fontId="1" fillId="4" borderId="0" xfId="3" applyNumberFormat="1" applyBorder="1"/>
    <xf numFmtId="0" fontId="2" fillId="0" borderId="0" xfId="0" applyFont="1"/>
    <xf numFmtId="0" fontId="0" fillId="0" borderId="0" xfId="0" applyAlignment="1">
      <alignment horizontal="center"/>
    </xf>
    <xf numFmtId="0" fontId="0" fillId="0" borderId="0" xfId="0" applyAlignment="1">
      <alignment horizontal="left" indent="1"/>
    </xf>
    <xf numFmtId="0" fontId="0" fillId="0" borderId="0" xfId="0" applyAlignment="1">
      <alignment horizontal="left"/>
    </xf>
    <xf numFmtId="0" fontId="2" fillId="0" borderId="1" xfId="0" applyFont="1" applyBorder="1" applyAlignment="1">
      <alignment horizontal="center" wrapText="1"/>
    </xf>
    <xf numFmtId="0" fontId="0" fillId="0" borderId="1" xfId="0" applyBorder="1" applyAlignment="1">
      <alignment horizontal="left"/>
    </xf>
    <xf numFmtId="0" fontId="0" fillId="0" borderId="1" xfId="0" applyBorder="1"/>
    <xf numFmtId="0" fontId="8" fillId="0" borderId="0" xfId="0" applyFont="1"/>
    <xf numFmtId="168" fontId="0" fillId="0" borderId="0" xfId="0" applyNumberFormat="1"/>
    <xf numFmtId="0" fontId="2" fillId="0" borderId="1" xfId="0" applyFont="1" applyBorder="1"/>
    <xf numFmtId="165" fontId="0" fillId="0" borderId="1" xfId="0" applyNumberFormat="1" applyBorder="1"/>
    <xf numFmtId="165" fontId="0" fillId="0" borderId="3" xfId="0" applyNumberFormat="1" applyBorder="1"/>
    <xf numFmtId="0" fontId="0" fillId="0" borderId="3" xfId="0" applyNumberFormat="1" applyBorder="1"/>
    <xf numFmtId="0" fontId="2" fillId="0" borderId="1" xfId="0" applyFont="1" applyFill="1" applyBorder="1" applyAlignment="1">
      <alignment horizontal="center" wrapText="1"/>
    </xf>
    <xf numFmtId="0" fontId="6" fillId="0" borderId="0" xfId="0" applyFont="1" applyAlignment="1"/>
    <xf numFmtId="0" fontId="5" fillId="0" borderId="0" xfId="0" applyFont="1" applyAlignment="1"/>
    <xf numFmtId="1" fontId="1" fillId="4" borderId="0" xfId="3" applyNumberFormat="1" applyBorder="1"/>
    <xf numFmtId="1" fontId="1" fillId="4" borderId="0" xfId="3" applyNumberFormat="1"/>
    <xf numFmtId="166" fontId="0" fillId="0" borderId="1" xfId="0" applyNumberFormat="1" applyBorder="1" applyAlignment="1">
      <alignment horizontal="right"/>
    </xf>
    <xf numFmtId="0" fontId="2" fillId="0" borderId="0" xfId="0" applyFont="1" applyAlignment="1">
      <alignment horizontal="left"/>
    </xf>
    <xf numFmtId="0" fontId="2" fillId="0" borderId="0" xfId="0" applyFont="1" applyFill="1" applyBorder="1" applyAlignment="1">
      <alignment horizontal="center" wrapText="1"/>
    </xf>
    <xf numFmtId="166" fontId="0" fillId="0" borderId="0" xfId="0" applyNumberFormat="1" applyBorder="1" applyAlignment="1">
      <alignment horizontal="right"/>
    </xf>
    <xf numFmtId="0" fontId="2" fillId="0" borderId="4" xfId="0" applyFont="1" applyBorder="1" applyAlignment="1">
      <alignment vertical="center"/>
    </xf>
    <xf numFmtId="0" fontId="0" fillId="0" borderId="5" xfId="0" applyBorder="1"/>
    <xf numFmtId="0" fontId="0" fillId="0" borderId="5" xfId="0" applyBorder="1" applyAlignment="1">
      <alignment horizontal="left" indent="1"/>
    </xf>
    <xf numFmtId="0" fontId="0" fillId="0" borderId="4" xfId="0" applyBorder="1" applyAlignment="1">
      <alignment horizontal="left" indent="1"/>
    </xf>
    <xf numFmtId="0" fontId="0" fillId="0" borderId="5" xfId="0" applyFill="1" applyBorder="1" applyAlignment="1">
      <alignment horizontal="left"/>
    </xf>
    <xf numFmtId="0" fontId="2" fillId="0" borderId="6" xfId="0" applyFont="1" applyBorder="1" applyAlignment="1">
      <alignment horizontal="center" wrapText="1"/>
    </xf>
    <xf numFmtId="166" fontId="0" fillId="0" borderId="7" xfId="0" applyNumberFormat="1" applyBorder="1"/>
    <xf numFmtId="0" fontId="0" fillId="0" borderId="7" xfId="0" applyBorder="1" applyAlignment="1">
      <alignment horizontal="right"/>
    </xf>
    <xf numFmtId="166" fontId="0" fillId="0" borderId="6" xfId="0" applyNumberFormat="1" applyBorder="1" applyAlignment="1">
      <alignment horizontal="right"/>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0" fillId="0" borderId="4" xfId="0" applyBorder="1" applyAlignment="1">
      <alignment horizontal="left"/>
    </xf>
    <xf numFmtId="0" fontId="2" fillId="0" borderId="4" xfId="0" applyFont="1" applyBorder="1" applyAlignment="1">
      <alignment horizontal="left"/>
    </xf>
    <xf numFmtId="0" fontId="0" fillId="0" borderId="9"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7" xfId="0" applyBorder="1"/>
    <xf numFmtId="170" fontId="0" fillId="0" borderId="1" xfId="0" applyNumberFormat="1" applyBorder="1"/>
    <xf numFmtId="167" fontId="0" fillId="0" borderId="1" xfId="0" applyNumberFormat="1" applyBorder="1"/>
    <xf numFmtId="10" fontId="0" fillId="0" borderId="0" xfId="0" applyNumberFormat="1"/>
    <xf numFmtId="169" fontId="0" fillId="0" borderId="7" xfId="0" applyNumberFormat="1" applyBorder="1" applyAlignment="1">
      <alignment horizontal="right"/>
    </xf>
    <xf numFmtId="170" fontId="0" fillId="0" borderId="0" xfId="0" applyNumberFormat="1"/>
    <xf numFmtId="169" fontId="0" fillId="0" borderId="6" xfId="0" applyNumberFormat="1" applyBorder="1" applyAlignment="1">
      <alignment horizontal="right"/>
    </xf>
    <xf numFmtId="165" fontId="0" fillId="0" borderId="2" xfId="0" applyNumberFormat="1" applyBorder="1"/>
    <xf numFmtId="165" fontId="0" fillId="0" borderId="0" xfId="0" applyNumberFormat="1" applyBorder="1"/>
    <xf numFmtId="0" fontId="2" fillId="0" borderId="8" xfId="0" applyFont="1" applyBorder="1" applyAlignment="1">
      <alignment horizontal="left"/>
    </xf>
    <xf numFmtId="0" fontId="0" fillId="0" borderId="10" xfId="0" applyBorder="1" applyAlignment="1">
      <alignment horizontal="right"/>
    </xf>
    <xf numFmtId="0" fontId="0" fillId="0" borderId="5" xfId="0" applyFill="1" applyBorder="1" applyAlignment="1">
      <alignment horizontal="left" indent="1"/>
    </xf>
    <xf numFmtId="3" fontId="1" fillId="2" borderId="0" xfId="1" applyNumberFormat="1" applyBorder="1"/>
    <xf numFmtId="0" fontId="2" fillId="0" borderId="0" xfId="0" applyFont="1" applyBorder="1" applyAlignment="1">
      <alignment horizontal="center" wrapText="1"/>
    </xf>
    <xf numFmtId="0" fontId="2" fillId="0" borderId="7" xfId="0" applyFont="1" applyBorder="1" applyAlignment="1">
      <alignment horizontal="center" wrapText="1"/>
    </xf>
    <xf numFmtId="0" fontId="0" fillId="0" borderId="5" xfId="0" applyFont="1" applyBorder="1" applyAlignment="1">
      <alignment vertical="center"/>
    </xf>
    <xf numFmtId="0" fontId="0" fillId="0" borderId="4" xfId="0" applyFill="1" applyBorder="1" applyAlignment="1">
      <alignment horizontal="left" indent="1"/>
    </xf>
    <xf numFmtId="166" fontId="0" fillId="0" borderId="2" xfId="0" applyNumberFormat="1" applyBorder="1" applyAlignment="1">
      <alignment horizontal="right"/>
    </xf>
    <xf numFmtId="169" fontId="0" fillId="0" borderId="10" xfId="0" applyNumberFormat="1" applyBorder="1" applyAlignment="1">
      <alignment horizontal="right"/>
    </xf>
    <xf numFmtId="165" fontId="0" fillId="0" borderId="0" xfId="0" applyNumberFormat="1" applyAlignment="1">
      <alignment horizontal="right"/>
    </xf>
    <xf numFmtId="165" fontId="0" fillId="0" borderId="1" xfId="0" applyNumberFormat="1" applyBorder="1" applyAlignment="1">
      <alignment horizontal="right"/>
    </xf>
    <xf numFmtId="0" fontId="0" fillId="0" borderId="6" xfId="0" applyBorder="1" applyAlignment="1">
      <alignment horizontal="right"/>
    </xf>
    <xf numFmtId="2" fontId="0" fillId="0" borderId="1" xfId="0" applyNumberFormat="1" applyBorder="1"/>
    <xf numFmtId="0" fontId="2" fillId="0" borderId="1" xfId="0" applyNumberFormat="1" applyFont="1" applyBorder="1" applyAlignment="1">
      <alignment horizontal="center"/>
    </xf>
    <xf numFmtId="0" fontId="2" fillId="0" borderId="3" xfId="0" applyFont="1" applyBorder="1" applyAlignment="1">
      <alignment horizontal="left"/>
    </xf>
    <xf numFmtId="167" fontId="2" fillId="0" borderId="3" xfId="0" applyNumberFormat="1" applyFont="1" applyBorder="1"/>
    <xf numFmtId="0" fontId="0" fillId="4" borderId="0" xfId="3" applyFont="1"/>
    <xf numFmtId="171" fontId="0" fillId="0" borderId="0" xfId="0" applyNumberFormat="1"/>
    <xf numFmtId="165" fontId="1" fillId="2" borderId="0" xfId="1" applyNumberFormat="1" applyBorder="1"/>
    <xf numFmtId="10" fontId="0" fillId="0" borderId="0" xfId="4" applyNumberFormat="1" applyFont="1"/>
    <xf numFmtId="10" fontId="0" fillId="0" borderId="1" xfId="4" applyNumberFormat="1" applyFont="1" applyBorder="1"/>
    <xf numFmtId="0" fontId="9" fillId="0" borderId="5" xfId="0" applyFont="1" applyBorder="1" applyAlignment="1">
      <alignment horizontal="left" indent="1"/>
    </xf>
    <xf numFmtId="167" fontId="9" fillId="0" borderId="0" xfId="0" applyNumberFormat="1" applyFont="1"/>
    <xf numFmtId="166" fontId="9" fillId="0" borderId="0" xfId="0" applyNumberFormat="1" applyFont="1"/>
    <xf numFmtId="166" fontId="9" fillId="0" borderId="7" xfId="0" applyNumberFormat="1" applyFont="1" applyBorder="1" applyAlignment="1">
      <alignment horizontal="right"/>
    </xf>
    <xf numFmtId="10" fontId="9" fillId="0" borderId="0" xfId="4" applyNumberFormat="1" applyFont="1"/>
    <xf numFmtId="172" fontId="0" fillId="0" borderId="0" xfId="0" applyNumberFormat="1"/>
    <xf numFmtId="167" fontId="1" fillId="4" borderId="0" xfId="3" applyNumberFormat="1" applyBorder="1"/>
    <xf numFmtId="167" fontId="1" fillId="2" borderId="0" xfId="1" applyNumberFormat="1"/>
    <xf numFmtId="165" fontId="1" fillId="4" borderId="0" xfId="3" applyNumberFormat="1"/>
    <xf numFmtId="165" fontId="1" fillId="2" borderId="0" xfId="1" applyNumberFormat="1"/>
    <xf numFmtId="165" fontId="0" fillId="4" borderId="0" xfId="3" applyNumberFormat="1" applyFont="1"/>
    <xf numFmtId="0" fontId="5" fillId="0" borderId="0" xfId="0" applyFont="1"/>
    <xf numFmtId="173" fontId="0" fillId="0" borderId="0" xfId="0" applyNumberFormat="1"/>
    <xf numFmtId="174" fontId="0" fillId="0" borderId="0" xfId="4" applyNumberFormat="1" applyFont="1"/>
    <xf numFmtId="0" fontId="5" fillId="0" borderId="0" xfId="0" applyFont="1" applyAlignment="1">
      <alignment horizontal="left"/>
    </xf>
    <xf numFmtId="175" fontId="0" fillId="0" borderId="0" xfId="4" applyNumberFormat="1" applyFont="1"/>
    <xf numFmtId="10" fontId="0" fillId="0" borderId="2" xfId="4" applyNumberFormat="1" applyFont="1" applyBorder="1"/>
    <xf numFmtId="10" fontId="1" fillId="0" borderId="0" xfId="4" applyNumberFormat="1" applyFont="1"/>
    <xf numFmtId="169" fontId="9" fillId="0" borderId="7" xfId="0" applyNumberFormat="1" applyFont="1" applyBorder="1" applyAlignment="1">
      <alignment horizontal="right"/>
    </xf>
    <xf numFmtId="0" fontId="6" fillId="0" borderId="0" xfId="0" applyFont="1" applyAlignment="1">
      <alignment horizontal="center"/>
    </xf>
    <xf numFmtId="0" fontId="5" fillId="0" borderId="0" xfId="0" applyFont="1" applyAlignment="1">
      <alignment horizontal="center"/>
    </xf>
    <xf numFmtId="0" fontId="2" fillId="0" borderId="1" xfId="0" applyFont="1" applyBorder="1" applyAlignment="1">
      <alignment horizontal="center"/>
    </xf>
    <xf numFmtId="0" fontId="0" fillId="0" borderId="11" xfId="0" applyBorder="1" applyAlignment="1">
      <alignment horizontal="justify" vertical="center" wrapText="1"/>
    </xf>
    <xf numFmtId="0" fontId="0" fillId="0" borderId="0" xfId="0" applyAlignment="1">
      <alignment horizontal="justify" vertical="center" wrapText="1"/>
    </xf>
    <xf numFmtId="0" fontId="0" fillId="0" borderId="0" xfId="0" applyBorder="1" applyAlignment="1">
      <alignment horizontal="justify" vertical="center" wrapText="1"/>
    </xf>
  </cellXfs>
  <cellStyles count="5">
    <cellStyle name="20% - Énfasis1" xfId="3" builtinId="30"/>
    <cellStyle name="40% - Énfasis1" xfId="1" builtinId="31"/>
    <cellStyle name="Énfasis1" xfId="2" builtinId="29"/>
    <cellStyle name="Normal" xfId="0" builtinId="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3"/>
  <sheetViews>
    <sheetView showGridLines="0" topLeftCell="A20" workbookViewId="0">
      <selection activeCell="B26" sqref="B26:E38"/>
    </sheetView>
  </sheetViews>
  <sheetFormatPr baseColWidth="10" defaultRowHeight="15.75" x14ac:dyDescent="0.25"/>
  <cols>
    <col min="1" max="1" width="2.75" customWidth="1"/>
    <col min="2" max="2" width="32.25" customWidth="1"/>
    <col min="3" max="5" width="12" customWidth="1"/>
    <col min="6" max="6" width="3.5" customWidth="1"/>
    <col min="7" max="8" width="11.375" bestFit="1" customWidth="1"/>
    <col min="10" max="10" width="11.125" bestFit="1" customWidth="1"/>
    <col min="11" max="11" width="10.25" bestFit="1" customWidth="1"/>
    <col min="12" max="12" width="11.125" bestFit="1" customWidth="1"/>
  </cols>
  <sheetData>
    <row r="2" spans="2:11" ht="23.25" x14ac:dyDescent="0.35">
      <c r="B2" s="119" t="s">
        <v>6</v>
      </c>
      <c r="C2" s="119"/>
      <c r="D2" s="119"/>
      <c r="E2" s="119"/>
      <c r="F2" s="44"/>
      <c r="G2" s="44"/>
    </row>
    <row r="3" spans="2:11" ht="18.75" x14ac:dyDescent="0.3">
      <c r="B3" s="120" t="s">
        <v>103</v>
      </c>
      <c r="C3" s="120"/>
      <c r="D3" s="120"/>
      <c r="E3" s="120"/>
      <c r="F3" s="45"/>
      <c r="G3" s="45"/>
      <c r="I3" s="16"/>
    </row>
    <row r="5" spans="2:11" x14ac:dyDescent="0.25">
      <c r="B5" s="18" t="s">
        <v>7</v>
      </c>
      <c r="C5" s="19"/>
      <c r="D5" s="19" t="s">
        <v>0</v>
      </c>
      <c r="E5" s="11" t="s">
        <v>4</v>
      </c>
      <c r="I5" s="9"/>
      <c r="J5" s="4"/>
      <c r="K5" s="5"/>
    </row>
    <row r="6" spans="2:11" x14ac:dyDescent="0.25">
      <c r="B6" s="20" t="s">
        <v>18</v>
      </c>
      <c r="C6" s="21"/>
      <c r="D6" s="29">
        <v>12000</v>
      </c>
      <c r="E6" s="12">
        <v>18000</v>
      </c>
    </row>
    <row r="7" spans="2:11" x14ac:dyDescent="0.25">
      <c r="B7" s="23" t="s">
        <v>37</v>
      </c>
      <c r="C7" s="24"/>
      <c r="D7" s="24">
        <v>30</v>
      </c>
      <c r="E7" s="13">
        <v>50</v>
      </c>
    </row>
    <row r="8" spans="2:11" ht="18" x14ac:dyDescent="0.25">
      <c r="B8" s="20" t="s">
        <v>104</v>
      </c>
      <c r="C8" s="21"/>
      <c r="D8" s="46">
        <v>45</v>
      </c>
      <c r="E8" s="47">
        <v>30</v>
      </c>
      <c r="G8" s="1"/>
      <c r="H8" s="1"/>
      <c r="K8" s="5"/>
    </row>
    <row r="9" spans="2:11" x14ac:dyDescent="0.25">
      <c r="B9" s="23" t="s">
        <v>11</v>
      </c>
      <c r="C9" s="24"/>
      <c r="D9" s="24"/>
      <c r="E9" s="13"/>
    </row>
    <row r="10" spans="2:11" x14ac:dyDescent="0.25">
      <c r="B10" s="26" t="s">
        <v>15</v>
      </c>
      <c r="C10" s="21"/>
      <c r="D10" s="25">
        <v>0.8</v>
      </c>
      <c r="E10" s="14">
        <v>0.6</v>
      </c>
    </row>
    <row r="11" spans="2:11" x14ac:dyDescent="0.25">
      <c r="B11" s="23" t="s">
        <v>12</v>
      </c>
      <c r="C11" s="24"/>
      <c r="D11" s="24"/>
      <c r="E11" s="13"/>
    </row>
    <row r="12" spans="2:11" x14ac:dyDescent="0.25">
      <c r="B12" s="26" t="s">
        <v>16</v>
      </c>
      <c r="C12" s="21"/>
      <c r="D12" s="27">
        <v>1</v>
      </c>
      <c r="E12" s="14">
        <v>0.7</v>
      </c>
    </row>
    <row r="14" spans="2:11" x14ac:dyDescent="0.25">
      <c r="B14" s="10" t="s">
        <v>8</v>
      </c>
      <c r="C14" s="28"/>
    </row>
    <row r="15" spans="2:11" ht="18" x14ac:dyDescent="0.25">
      <c r="B15" s="95" t="s">
        <v>105</v>
      </c>
      <c r="C15" s="106">
        <v>1.33</v>
      </c>
    </row>
    <row r="16" spans="2:11" x14ac:dyDescent="0.25">
      <c r="B16" s="13" t="s">
        <v>9</v>
      </c>
      <c r="C16" s="107">
        <v>8.5</v>
      </c>
    </row>
    <row r="18" spans="2:9" x14ac:dyDescent="0.25">
      <c r="B18" s="18" t="s">
        <v>10</v>
      </c>
      <c r="C18" s="19"/>
      <c r="D18" s="19" t="s">
        <v>13</v>
      </c>
      <c r="E18" s="11" t="s">
        <v>14</v>
      </c>
    </row>
    <row r="19" spans="2:9" x14ac:dyDescent="0.25">
      <c r="B19" s="20" t="s">
        <v>49</v>
      </c>
      <c r="C19" s="21"/>
      <c r="D19" s="22">
        <v>59272</v>
      </c>
      <c r="E19" s="108">
        <v>264326</v>
      </c>
      <c r="G19" s="3"/>
    </row>
    <row r="20" spans="2:9" x14ac:dyDescent="0.25">
      <c r="B20" s="23" t="s">
        <v>50</v>
      </c>
      <c r="C20" s="24"/>
      <c r="D20" s="97">
        <v>83394</v>
      </c>
      <c r="E20" s="109">
        <v>63693</v>
      </c>
      <c r="G20" s="3"/>
    </row>
    <row r="21" spans="2:9" x14ac:dyDescent="0.25">
      <c r="B21" s="20" t="s">
        <v>51</v>
      </c>
      <c r="C21" s="21"/>
      <c r="D21" s="22">
        <v>242934</v>
      </c>
      <c r="E21" s="108">
        <v>125018</v>
      </c>
      <c r="G21" s="3"/>
    </row>
    <row r="22" spans="2:9" x14ac:dyDescent="0.25">
      <c r="B22" s="23" t="s">
        <v>52</v>
      </c>
      <c r="C22" s="24"/>
      <c r="D22" s="97">
        <v>106550</v>
      </c>
      <c r="E22" s="109">
        <v>84842</v>
      </c>
      <c r="G22" s="3"/>
      <c r="H22" s="5"/>
    </row>
    <row r="23" spans="2:9" x14ac:dyDescent="0.25">
      <c r="B23" s="20" t="s">
        <v>53</v>
      </c>
      <c r="C23" s="21"/>
      <c r="D23" s="22">
        <v>61902</v>
      </c>
      <c r="E23" s="110">
        <v>22914</v>
      </c>
      <c r="G23" s="3"/>
    </row>
    <row r="24" spans="2:9" x14ac:dyDescent="0.25">
      <c r="B24" s="23" t="s">
        <v>25</v>
      </c>
      <c r="C24" s="24"/>
      <c r="D24" s="97">
        <v>347310</v>
      </c>
      <c r="E24" s="109">
        <v>231362.99999999997</v>
      </c>
      <c r="G24" s="3"/>
      <c r="H24" s="5"/>
      <c r="I24" s="72"/>
    </row>
    <row r="25" spans="2:9" x14ac:dyDescent="0.25">
      <c r="G25" s="5"/>
      <c r="H25" s="5"/>
    </row>
    <row r="26" spans="2:9" x14ac:dyDescent="0.25">
      <c r="B26" s="18" t="s">
        <v>107</v>
      </c>
      <c r="C26" s="19"/>
      <c r="D26" s="19" t="s">
        <v>0</v>
      </c>
      <c r="E26" s="11" t="s">
        <v>4</v>
      </c>
    </row>
    <row r="27" spans="2:9" x14ac:dyDescent="0.25">
      <c r="B27" s="20" t="s">
        <v>19</v>
      </c>
      <c r="C27" s="21"/>
      <c r="D27" s="29">
        <v>1110</v>
      </c>
      <c r="E27" s="12">
        <v>1400</v>
      </c>
    </row>
    <row r="28" spans="2:9" x14ac:dyDescent="0.25">
      <c r="B28" s="23" t="s">
        <v>20</v>
      </c>
      <c r="C28" s="24"/>
      <c r="D28" s="24">
        <v>30</v>
      </c>
      <c r="E28" s="13">
        <v>40</v>
      </c>
    </row>
    <row r="29" spans="2:9" ht="18" x14ac:dyDescent="0.25">
      <c r="B29" s="20" t="s">
        <v>57</v>
      </c>
      <c r="C29" s="21"/>
      <c r="D29" s="29">
        <v>49200</v>
      </c>
      <c r="E29" s="12">
        <v>43900</v>
      </c>
    </row>
    <row r="30" spans="2:9" x14ac:dyDescent="0.25">
      <c r="B30" s="23" t="s">
        <v>58</v>
      </c>
      <c r="C30" s="24"/>
      <c r="D30" s="97">
        <v>65928</v>
      </c>
      <c r="E30" s="97">
        <v>58826</v>
      </c>
    </row>
    <row r="31" spans="2:9" x14ac:dyDescent="0.25">
      <c r="B31" s="20" t="s">
        <v>60</v>
      </c>
      <c r="C31" s="21"/>
      <c r="D31" s="29">
        <v>1080</v>
      </c>
      <c r="E31" s="29">
        <v>1000</v>
      </c>
    </row>
    <row r="32" spans="2:9" x14ac:dyDescent="0.25">
      <c r="B32" s="23" t="s">
        <v>61</v>
      </c>
      <c r="C32" s="24"/>
      <c r="D32" s="97">
        <v>9234</v>
      </c>
      <c r="E32" s="97">
        <v>8550</v>
      </c>
    </row>
    <row r="33" spans="2:12" x14ac:dyDescent="0.25">
      <c r="B33" s="20" t="s">
        <v>89</v>
      </c>
      <c r="C33" s="21"/>
      <c r="D33" s="29">
        <v>870</v>
      </c>
      <c r="E33" s="12">
        <v>866</v>
      </c>
    </row>
    <row r="34" spans="2:12" x14ac:dyDescent="0.25">
      <c r="B34" s="23" t="s">
        <v>90</v>
      </c>
      <c r="C34" s="24"/>
      <c r="D34" s="81">
        <v>1080</v>
      </c>
      <c r="E34" s="81">
        <v>1000</v>
      </c>
    </row>
    <row r="35" spans="2:12" x14ac:dyDescent="0.25">
      <c r="B35" s="18" t="s">
        <v>84</v>
      </c>
      <c r="C35" s="19"/>
      <c r="D35" s="19" t="s">
        <v>13</v>
      </c>
      <c r="E35" s="11" t="s">
        <v>14</v>
      </c>
    </row>
    <row r="36" spans="2:12" x14ac:dyDescent="0.25">
      <c r="B36" s="20" t="s">
        <v>87</v>
      </c>
      <c r="C36" s="21"/>
      <c r="D36" s="22">
        <v>41447</v>
      </c>
      <c r="E36" s="108">
        <v>45864</v>
      </c>
    </row>
    <row r="37" spans="2:12" x14ac:dyDescent="0.25">
      <c r="B37" s="23" t="s">
        <v>88</v>
      </c>
      <c r="C37" s="24"/>
      <c r="D37" s="97">
        <v>5904</v>
      </c>
      <c r="E37" s="97">
        <v>2214</v>
      </c>
    </row>
    <row r="38" spans="2:12" x14ac:dyDescent="0.25">
      <c r="B38" s="20" t="s">
        <v>86</v>
      </c>
      <c r="C38" s="21"/>
      <c r="D38" s="22">
        <v>29495</v>
      </c>
      <c r="E38" s="22">
        <v>19229</v>
      </c>
    </row>
    <row r="39" spans="2:12" x14ac:dyDescent="0.25">
      <c r="L39" s="105"/>
    </row>
    <row r="40" spans="2:12" x14ac:dyDescent="0.25">
      <c r="D40" s="17"/>
      <c r="E40" s="17"/>
      <c r="G40" s="17"/>
      <c r="L40" s="17"/>
    </row>
    <row r="43" spans="2:12" x14ac:dyDescent="0.25">
      <c r="D43" s="105"/>
    </row>
  </sheetData>
  <mergeCells count="2">
    <mergeCell ref="B2:E2"/>
    <mergeCell ref="B3:E3"/>
  </mergeCells>
  <printOptions horizontalCentered="1"/>
  <pageMargins left="0.47244094488188981" right="0.31496062992125984" top="0.74803149606299213" bottom="0.74803149606299213" header="0.31496062992125984" footer="0.31496062992125984"/>
  <pageSetup paperSize="9"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39"/>
  <sheetViews>
    <sheetView showGridLines="0" topLeftCell="A21" zoomScaleNormal="100" workbookViewId="0">
      <selection activeCell="B28" sqref="B28:G38"/>
    </sheetView>
  </sheetViews>
  <sheetFormatPr baseColWidth="10" defaultRowHeight="15.75" x14ac:dyDescent="0.25"/>
  <cols>
    <col min="1" max="1" width="2.875" customWidth="1"/>
    <col min="2" max="2" width="43.5" customWidth="1"/>
    <col min="3" max="7" width="13.375" customWidth="1"/>
    <col min="8" max="8" width="13.75" customWidth="1"/>
    <col min="9" max="9" width="7.625" customWidth="1"/>
    <col min="10" max="10" width="12.375" bestFit="1" customWidth="1"/>
  </cols>
  <sheetData>
    <row r="2" spans="2:8" ht="23.25" x14ac:dyDescent="0.35">
      <c r="B2" s="119" t="str">
        <f>Enunciado!B2</f>
        <v>Análisis de desviaciones en Tablesur</v>
      </c>
      <c r="C2" s="119"/>
      <c r="D2" s="119"/>
      <c r="E2" s="119"/>
      <c r="F2" s="119"/>
      <c r="G2" s="119"/>
      <c r="H2" s="44"/>
    </row>
    <row r="3" spans="2:8" ht="18.75" x14ac:dyDescent="0.3">
      <c r="B3" s="120" t="str">
        <f>Enunciado!B3</f>
        <v>© 2015 – Francisco López Cruces</v>
      </c>
      <c r="C3" s="120"/>
      <c r="D3" s="120"/>
      <c r="E3" s="120"/>
      <c r="F3" s="120"/>
      <c r="G3" s="120"/>
      <c r="H3" s="45"/>
    </row>
    <row r="5" spans="2:8" ht="18.75" x14ac:dyDescent="0.3">
      <c r="B5" s="111" t="s">
        <v>114</v>
      </c>
    </row>
    <row r="7" spans="2:8" x14ac:dyDescent="0.25">
      <c r="B7" s="39" t="s">
        <v>43</v>
      </c>
      <c r="C7" s="15" t="s">
        <v>0</v>
      </c>
      <c r="D7" s="15" t="s">
        <v>4</v>
      </c>
      <c r="E7" s="15" t="s">
        <v>1</v>
      </c>
      <c r="F7" s="31"/>
      <c r="G7" s="31"/>
    </row>
    <row r="8" spans="2:8" x14ac:dyDescent="0.25">
      <c r="B8" t="s">
        <v>35</v>
      </c>
      <c r="C8" s="2">
        <f>Enunciado!D6</f>
        <v>12000</v>
      </c>
      <c r="D8" s="2">
        <f>Enunciado!E6</f>
        <v>18000</v>
      </c>
      <c r="E8" s="2">
        <f>SUM(C8:D8)</f>
        <v>30000</v>
      </c>
    </row>
    <row r="9" spans="2:8" x14ac:dyDescent="0.25">
      <c r="B9" t="s">
        <v>36</v>
      </c>
      <c r="C9">
        <v>30</v>
      </c>
      <c r="D9">
        <f>Enunciado!E7</f>
        <v>50</v>
      </c>
    </row>
    <row r="10" spans="2:8" x14ac:dyDescent="0.25">
      <c r="B10" s="36" t="s">
        <v>38</v>
      </c>
      <c r="C10" s="36">
        <f>C8/C9</f>
        <v>400</v>
      </c>
      <c r="D10" s="36">
        <f>D8/D9</f>
        <v>360</v>
      </c>
      <c r="E10" s="36">
        <f>SUM(C10:D10)</f>
        <v>760</v>
      </c>
    </row>
    <row r="11" spans="2:8" x14ac:dyDescent="0.25">
      <c r="B11" s="37" t="s">
        <v>11</v>
      </c>
    </row>
    <row r="12" spans="2:8" x14ac:dyDescent="0.25">
      <c r="B12" t="s">
        <v>39</v>
      </c>
      <c r="C12">
        <f>Enunciado!D10</f>
        <v>0.8</v>
      </c>
      <c r="D12">
        <f>Enunciado!E10</f>
        <v>0.6</v>
      </c>
    </row>
    <row r="13" spans="2:8" x14ac:dyDescent="0.25">
      <c r="B13" s="36" t="s">
        <v>40</v>
      </c>
      <c r="C13" s="8">
        <f>C$8*C12</f>
        <v>9600</v>
      </c>
      <c r="D13" s="8">
        <f>D$8*D12</f>
        <v>10800</v>
      </c>
      <c r="E13" s="8">
        <f>SUM(C13:D13)</f>
        <v>20400</v>
      </c>
    </row>
    <row r="14" spans="2:8" x14ac:dyDescent="0.25">
      <c r="B14" s="37" t="s">
        <v>12</v>
      </c>
    </row>
    <row r="15" spans="2:8" x14ac:dyDescent="0.25">
      <c r="B15" t="s">
        <v>41</v>
      </c>
      <c r="C15" s="38">
        <f>Enunciado!D12</f>
        <v>1</v>
      </c>
      <c r="D15">
        <f>Enunciado!E12</f>
        <v>0.7</v>
      </c>
    </row>
    <row r="16" spans="2:8" x14ac:dyDescent="0.25">
      <c r="B16" s="36" t="s">
        <v>42</v>
      </c>
      <c r="C16" s="8">
        <f>C$8*C15</f>
        <v>12000</v>
      </c>
      <c r="D16" s="8">
        <f>D$8*D15</f>
        <v>12600</v>
      </c>
      <c r="E16" s="8">
        <f>SUM(C16:D16)</f>
        <v>24600</v>
      </c>
    </row>
    <row r="18" spans="2:7" x14ac:dyDescent="0.25">
      <c r="B18" s="39" t="s">
        <v>116</v>
      </c>
      <c r="C18" s="15" t="s">
        <v>75</v>
      </c>
      <c r="D18" s="15" t="s">
        <v>76</v>
      </c>
    </row>
    <row r="19" spans="2:7" x14ac:dyDescent="0.25">
      <c r="B19" t="s">
        <v>44</v>
      </c>
      <c r="C19" s="5">
        <f>SUM(Enunciado!D19:D22)</f>
        <v>492150</v>
      </c>
      <c r="D19" s="5">
        <f>SUM(Enunciado!E19:E22)</f>
        <v>537879</v>
      </c>
    </row>
    <row r="20" spans="2:7" x14ac:dyDescent="0.25">
      <c r="B20" s="36" t="s">
        <v>45</v>
      </c>
      <c r="C20" s="71">
        <f>C19/E13</f>
        <v>24.125</v>
      </c>
      <c r="D20" s="71">
        <f>D19/E16</f>
        <v>21.864999999999998</v>
      </c>
      <c r="F20" s="6"/>
    </row>
    <row r="21" spans="2:7" x14ac:dyDescent="0.25">
      <c r="B21" t="s">
        <v>46</v>
      </c>
      <c r="C21" s="5">
        <f>Enunciado!D23</f>
        <v>61902</v>
      </c>
      <c r="D21" s="5">
        <f>Enunciado!E23</f>
        <v>22914</v>
      </c>
      <c r="F21" s="6"/>
      <c r="G21" s="6"/>
    </row>
    <row r="22" spans="2:7" x14ac:dyDescent="0.25">
      <c r="B22" s="36" t="s">
        <v>47</v>
      </c>
      <c r="C22" s="71">
        <f>C21/$E$10</f>
        <v>81.45</v>
      </c>
      <c r="D22" s="71">
        <f>D21/$E$10</f>
        <v>30.15</v>
      </c>
    </row>
    <row r="23" spans="2:7" x14ac:dyDescent="0.25">
      <c r="B23" t="s">
        <v>25</v>
      </c>
      <c r="C23" s="5">
        <f>Enunciado!D24</f>
        <v>347310</v>
      </c>
      <c r="D23" s="5">
        <f>Enunciado!E24</f>
        <v>231362.99999999997</v>
      </c>
    </row>
    <row r="24" spans="2:7" x14ac:dyDescent="0.25">
      <c r="B24" s="36" t="s">
        <v>48</v>
      </c>
      <c r="C24" s="71">
        <f>C23/E13</f>
        <v>17.024999999999999</v>
      </c>
      <c r="D24" s="71">
        <f>D23/E16</f>
        <v>9.4049999999999994</v>
      </c>
    </row>
    <row r="26" spans="2:7" ht="18.75" x14ac:dyDescent="0.3">
      <c r="B26" s="111" t="s">
        <v>115</v>
      </c>
    </row>
    <row r="28" spans="2:7" x14ac:dyDescent="0.25">
      <c r="B28" s="30"/>
      <c r="C28" s="30"/>
      <c r="D28" s="121" t="s">
        <v>27</v>
      </c>
      <c r="E28" s="121"/>
      <c r="F28" s="121" t="s">
        <v>28</v>
      </c>
      <c r="G28" s="121"/>
    </row>
    <row r="29" spans="2:7" x14ac:dyDescent="0.25">
      <c r="B29" s="39" t="s">
        <v>17</v>
      </c>
      <c r="C29" s="15" t="s">
        <v>30</v>
      </c>
      <c r="D29" s="15" t="s">
        <v>29</v>
      </c>
      <c r="E29" s="15" t="s">
        <v>31</v>
      </c>
      <c r="F29" s="92" t="s">
        <v>29</v>
      </c>
      <c r="G29" s="15" t="s">
        <v>31</v>
      </c>
    </row>
    <row r="30" spans="2:7" x14ac:dyDescent="0.25">
      <c r="B30" t="s">
        <v>2</v>
      </c>
      <c r="C30" s="74">
        <f>Enunciado!C15</f>
        <v>1.33</v>
      </c>
      <c r="D30" s="17">
        <f>Enunciado!D8</f>
        <v>45</v>
      </c>
      <c r="E30" s="6">
        <f t="shared" ref="E30:E37" si="0">$C30*D30</f>
        <v>59.85</v>
      </c>
      <c r="F30" s="17">
        <f>Enunciado!E8</f>
        <v>30</v>
      </c>
      <c r="G30" s="6">
        <f t="shared" ref="G30:G37" si="1">$C30*F30</f>
        <v>39.900000000000006</v>
      </c>
    </row>
    <row r="31" spans="2:7" x14ac:dyDescent="0.25">
      <c r="B31" t="s">
        <v>3</v>
      </c>
      <c r="C31" s="74">
        <f>Enunciado!C16</f>
        <v>8.5</v>
      </c>
      <c r="D31" s="17">
        <f>C15</f>
        <v>1</v>
      </c>
      <c r="E31" s="6">
        <f t="shared" si="0"/>
        <v>8.5</v>
      </c>
      <c r="F31" s="17">
        <f>D15</f>
        <v>0.7</v>
      </c>
      <c r="G31" s="6">
        <f t="shared" si="1"/>
        <v>5.9499999999999993</v>
      </c>
    </row>
    <row r="32" spans="2:7" x14ac:dyDescent="0.25">
      <c r="B32" s="33" t="s">
        <v>22</v>
      </c>
      <c r="C32" s="74">
        <f>C20</f>
        <v>24.125</v>
      </c>
      <c r="D32" s="17">
        <f>C12</f>
        <v>0.8</v>
      </c>
      <c r="E32" s="6">
        <f t="shared" si="0"/>
        <v>19.3</v>
      </c>
      <c r="F32" s="17">
        <f>D12</f>
        <v>0.6</v>
      </c>
      <c r="G32" s="6">
        <f t="shared" si="1"/>
        <v>14.475</v>
      </c>
    </row>
    <row r="33" spans="2:7" x14ac:dyDescent="0.25">
      <c r="B33" s="33" t="s">
        <v>21</v>
      </c>
      <c r="C33" s="74">
        <f>C22</f>
        <v>81.45</v>
      </c>
      <c r="D33" s="1">
        <f>1/C9</f>
        <v>3.3333333333333333E-2</v>
      </c>
      <c r="E33" s="6">
        <f t="shared" si="0"/>
        <v>2.7149999999999999</v>
      </c>
      <c r="F33" s="17">
        <f>1/D9</f>
        <v>0.02</v>
      </c>
      <c r="G33" s="6">
        <f t="shared" si="1"/>
        <v>1.629</v>
      </c>
    </row>
    <row r="34" spans="2:7" x14ac:dyDescent="0.25">
      <c r="B34" s="33" t="s">
        <v>23</v>
      </c>
      <c r="C34" s="74">
        <f>D20</f>
        <v>21.864999999999998</v>
      </c>
      <c r="D34" s="17">
        <f>C15</f>
        <v>1</v>
      </c>
      <c r="E34" s="6">
        <f t="shared" si="0"/>
        <v>21.864999999999998</v>
      </c>
      <c r="F34" s="17">
        <f>D15</f>
        <v>0.7</v>
      </c>
      <c r="G34" s="6">
        <f t="shared" si="1"/>
        <v>15.305499999999999</v>
      </c>
    </row>
    <row r="35" spans="2:7" x14ac:dyDescent="0.25">
      <c r="B35" s="33" t="s">
        <v>24</v>
      </c>
      <c r="C35" s="74">
        <f>D22</f>
        <v>30.15</v>
      </c>
      <c r="D35" s="1">
        <f>D33</f>
        <v>3.3333333333333333E-2</v>
      </c>
      <c r="E35" s="6">
        <f t="shared" si="0"/>
        <v>1.0049999999999999</v>
      </c>
      <c r="F35" s="17">
        <f>F33</f>
        <v>0.02</v>
      </c>
      <c r="G35" s="6">
        <f t="shared" si="1"/>
        <v>0.60299999999999998</v>
      </c>
    </row>
    <row r="36" spans="2:7" x14ac:dyDescent="0.25">
      <c r="B36" s="33" t="s">
        <v>32</v>
      </c>
      <c r="C36" s="74">
        <f>C24</f>
        <v>17.024999999999999</v>
      </c>
      <c r="D36" s="17">
        <f>D32</f>
        <v>0.8</v>
      </c>
      <c r="E36" s="6">
        <f t="shared" si="0"/>
        <v>13.62</v>
      </c>
      <c r="F36" s="17">
        <f>F32</f>
        <v>0.6</v>
      </c>
      <c r="G36" s="6">
        <f t="shared" si="1"/>
        <v>10.214999999999998</v>
      </c>
    </row>
    <row r="37" spans="2:7" x14ac:dyDescent="0.25">
      <c r="B37" s="35" t="s">
        <v>33</v>
      </c>
      <c r="C37" s="70">
        <f>D24</f>
        <v>9.4049999999999994</v>
      </c>
      <c r="D37" s="91">
        <f>D34</f>
        <v>1</v>
      </c>
      <c r="E37" s="71">
        <f t="shared" si="0"/>
        <v>9.4049999999999994</v>
      </c>
      <c r="F37" s="91">
        <f>F34</f>
        <v>0.7</v>
      </c>
      <c r="G37" s="71">
        <f t="shared" si="1"/>
        <v>6.583499999999999</v>
      </c>
    </row>
    <row r="38" spans="2:7" ht="16.5" thickBot="1" x14ac:dyDescent="0.3">
      <c r="B38" s="93" t="s">
        <v>34</v>
      </c>
      <c r="C38" s="41"/>
      <c r="D38" s="42"/>
      <c r="E38" s="94">
        <f>SUM(E30:E37)</f>
        <v>136.26</v>
      </c>
      <c r="F38" s="42"/>
      <c r="G38" s="94">
        <f>SUM(G30:G37)</f>
        <v>94.661000000000001</v>
      </c>
    </row>
    <row r="39" spans="2:7" ht="16.5" thickTop="1" x14ac:dyDescent="0.25"/>
    <row r="65" spans="2:7" x14ac:dyDescent="0.25">
      <c r="B65" s="32"/>
      <c r="C65" s="5"/>
      <c r="D65" s="5"/>
      <c r="E65" s="5"/>
      <c r="F65" s="5"/>
      <c r="G65" s="5"/>
    </row>
    <row r="135" spans="3:7" x14ac:dyDescent="0.25">
      <c r="C135" s="6"/>
      <c r="G135" s="6"/>
    </row>
    <row r="136" spans="3:7" x14ac:dyDescent="0.25">
      <c r="E136" s="3"/>
      <c r="G136" s="3"/>
    </row>
    <row r="137" spans="3:7" x14ac:dyDescent="0.25">
      <c r="C137" s="6"/>
      <c r="E137" s="3"/>
      <c r="G137" s="3"/>
    </row>
    <row r="138" spans="3:7" x14ac:dyDescent="0.25">
      <c r="C138" s="3"/>
      <c r="E138" s="3"/>
      <c r="G138" s="3"/>
    </row>
    <row r="139" spans="3:7" x14ac:dyDescent="0.25">
      <c r="C139" s="6"/>
      <c r="E139" s="6"/>
      <c r="G139" s="6"/>
    </row>
  </sheetData>
  <mergeCells count="4">
    <mergeCell ref="B2:G2"/>
    <mergeCell ref="B3:G3"/>
    <mergeCell ref="D28:E28"/>
    <mergeCell ref="F28:G28"/>
  </mergeCells>
  <printOptions horizontalCentered="1"/>
  <pageMargins left="0.43307086614173229" right="0.39370078740157483" top="0.31496062992125984" bottom="0.4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9"/>
  <sheetViews>
    <sheetView showGridLines="0" tabSelected="1" zoomScaleNormal="100" workbookViewId="0">
      <selection activeCell="J29" sqref="J29"/>
    </sheetView>
  </sheetViews>
  <sheetFormatPr baseColWidth="10" defaultRowHeight="15.75" x14ac:dyDescent="0.25"/>
  <cols>
    <col min="1" max="1" width="2.625" customWidth="1"/>
    <col min="2" max="2" width="43.5" customWidth="1"/>
    <col min="3" max="7" width="13.375" customWidth="1"/>
    <col min="8" max="8" width="13.75" customWidth="1"/>
    <col min="9" max="9" width="7.625" customWidth="1"/>
    <col min="10" max="10" width="12.375" bestFit="1" customWidth="1"/>
  </cols>
  <sheetData>
    <row r="2" spans="2:11" ht="23.25" x14ac:dyDescent="0.35">
      <c r="B2" s="119" t="str">
        <f>Enunciado!B2</f>
        <v>Análisis de desviaciones en Tablesur</v>
      </c>
      <c r="C2" s="119"/>
      <c r="D2" s="119"/>
      <c r="E2" s="119"/>
      <c r="F2" s="119"/>
      <c r="G2" s="119"/>
      <c r="H2" s="119"/>
      <c r="I2" s="119"/>
    </row>
    <row r="3" spans="2:11" ht="18.75" x14ac:dyDescent="0.3">
      <c r="B3" s="120" t="str">
        <f>Enunciado!B3</f>
        <v>© 2015 – Francisco López Cruces</v>
      </c>
      <c r="C3" s="120"/>
      <c r="D3" s="120"/>
      <c r="E3" s="120"/>
      <c r="F3" s="120"/>
      <c r="G3" s="120"/>
      <c r="H3" s="120"/>
      <c r="I3" s="120"/>
    </row>
    <row r="5" spans="2:11" ht="18.75" x14ac:dyDescent="0.3">
      <c r="B5" s="111" t="s">
        <v>117</v>
      </c>
    </row>
    <row r="7" spans="2:11" ht="31.5" x14ac:dyDescent="0.25">
      <c r="B7" s="52" t="s">
        <v>27</v>
      </c>
      <c r="C7" s="61" t="s">
        <v>26</v>
      </c>
      <c r="D7" s="62" t="s">
        <v>62</v>
      </c>
      <c r="E7" s="61" t="s">
        <v>55</v>
      </c>
      <c r="F7" s="61" t="s">
        <v>63</v>
      </c>
      <c r="G7" s="61" t="s">
        <v>85</v>
      </c>
      <c r="H7" s="63" t="s">
        <v>65</v>
      </c>
      <c r="I7" s="61" t="s">
        <v>106</v>
      </c>
    </row>
    <row r="8" spans="2:11" x14ac:dyDescent="0.25">
      <c r="B8" s="53" t="s">
        <v>56</v>
      </c>
      <c r="C8" s="5"/>
      <c r="D8" s="5"/>
      <c r="E8" s="5"/>
      <c r="F8" s="5"/>
      <c r="G8" s="5"/>
      <c r="H8" s="58"/>
    </row>
    <row r="9" spans="2:11" x14ac:dyDescent="0.25">
      <c r="B9" s="54" t="s">
        <v>68</v>
      </c>
      <c r="C9" s="2">
        <f>'Solución 1-2'!D30*Enunciado!D27</f>
        <v>49950</v>
      </c>
      <c r="D9" s="5"/>
      <c r="E9" s="2">
        <f>G9</f>
        <v>49200</v>
      </c>
      <c r="F9" s="5"/>
      <c r="G9" s="2">
        <f>Enunciado!D29</f>
        <v>49200</v>
      </c>
      <c r="H9" s="59" t="str">
        <f>FIXED(C9-G9,0)&amp;IF(G9&gt;C9," (D)"," (F)")</f>
        <v>750 (F)</v>
      </c>
      <c r="I9" s="98">
        <f>(C9-G9)/C9</f>
        <v>1.5015015015015015E-2</v>
      </c>
    </row>
    <row r="10" spans="2:11" x14ac:dyDescent="0.25">
      <c r="B10" s="100" t="s">
        <v>72</v>
      </c>
      <c r="C10" s="101">
        <f>Enunciado!C15</f>
        <v>1.33</v>
      </c>
      <c r="D10" s="102"/>
      <c r="E10" s="101">
        <f>C10</f>
        <v>1.33</v>
      </c>
      <c r="F10" s="102"/>
      <c r="G10" s="101">
        <f>G11/G9</f>
        <v>1.34</v>
      </c>
      <c r="H10" s="103" t="str">
        <f>DOLLAR(C10-G10,4)&amp;IF(G10&gt;C10," (D)"," (F)")</f>
        <v>-0,0100 € (D)</v>
      </c>
      <c r="I10" s="104">
        <f>(C10-G10)/C10</f>
        <v>-7.5187969924812095E-3</v>
      </c>
    </row>
    <row r="11" spans="2:11" x14ac:dyDescent="0.25">
      <c r="B11" s="55" t="s">
        <v>69</v>
      </c>
      <c r="C11" s="40">
        <f>C9*C10</f>
        <v>66433.5</v>
      </c>
      <c r="D11" s="48" t="str">
        <f>DOLLAR(C11-E11,2)&amp;IF(E11&gt;C11," (D)"," (F)")</f>
        <v>997,50 € (F)</v>
      </c>
      <c r="E11" s="40">
        <f>E9*E10</f>
        <v>65436</v>
      </c>
      <c r="F11" s="48" t="str">
        <f>DOLLAR(E11-G11,2)&amp;IF(G11&gt;E11," (D)"," (F)")</f>
        <v>-492,00 € (D)</v>
      </c>
      <c r="G11" s="40">
        <f>Enunciado!D30</f>
        <v>65928</v>
      </c>
      <c r="H11" s="60" t="str">
        <f>DOLLAR(C11-G11,2)&amp;IF(G11&gt;C11," (D)"," (F)")</f>
        <v>505,50 € (F)</v>
      </c>
      <c r="I11" s="99">
        <f>(C11-G11)/C11</f>
        <v>7.6091128722707672E-3</v>
      </c>
      <c r="K11" s="113"/>
    </row>
    <row r="12" spans="2:11" x14ac:dyDescent="0.25">
      <c r="B12" s="56" t="s">
        <v>59</v>
      </c>
      <c r="C12" s="5"/>
      <c r="D12" s="5"/>
      <c r="E12" s="5"/>
      <c r="F12" s="5"/>
      <c r="G12" s="5"/>
      <c r="H12" s="58"/>
    </row>
    <row r="13" spans="2:11" x14ac:dyDescent="0.25">
      <c r="B13" s="54" t="s">
        <v>70</v>
      </c>
      <c r="C13" s="2">
        <f>'Solución 1-2'!D31*Enunciado!D27</f>
        <v>1110</v>
      </c>
      <c r="D13" s="5"/>
      <c r="E13" s="2">
        <f>G13</f>
        <v>1080</v>
      </c>
      <c r="F13" s="5"/>
      <c r="G13" s="2">
        <f>Enunciado!D31</f>
        <v>1080</v>
      </c>
      <c r="H13" s="59" t="str">
        <f>FIXED(C13-G13,0)&amp;IF(G13&gt;C13," (D)"," (F)")</f>
        <v>30 (F)</v>
      </c>
      <c r="I13" s="98">
        <f>(C13-G13)/C13</f>
        <v>2.7027027027027029E-2</v>
      </c>
    </row>
    <row r="14" spans="2:11" x14ac:dyDescent="0.25">
      <c r="B14" s="100" t="s">
        <v>72</v>
      </c>
      <c r="C14" s="101">
        <f>'Solución 1-2'!C31</f>
        <v>8.5</v>
      </c>
      <c r="D14" s="101"/>
      <c r="E14" s="101">
        <f>C14</f>
        <v>8.5</v>
      </c>
      <c r="F14" s="101"/>
      <c r="G14" s="101">
        <f>G15/G13</f>
        <v>8.5500000000000007</v>
      </c>
      <c r="H14" s="103" t="str">
        <f>DOLLAR(C14-G14,4)&amp;IF(G14&gt;C14," (D)"," (F)")</f>
        <v>-0,0500 € (D)</v>
      </c>
      <c r="I14" s="104">
        <f>(C14-G14)/C14</f>
        <v>-5.8823529411765538E-3</v>
      </c>
    </row>
    <row r="15" spans="2:11" x14ac:dyDescent="0.25">
      <c r="B15" s="55" t="s">
        <v>71</v>
      </c>
      <c r="C15" s="40">
        <f>C13*C14</f>
        <v>9435</v>
      </c>
      <c r="D15" s="48" t="str">
        <f>DOLLAR(C15-E15,2)&amp;IF(E15&gt;C15," (D)"," (F)")</f>
        <v>255,00 € (F)</v>
      </c>
      <c r="E15" s="40">
        <f>E13*E14</f>
        <v>9180</v>
      </c>
      <c r="F15" s="48" t="str">
        <f>DOLLAR(E15-G15,2)&amp;IF(G15&gt;E15," (D)"," (F)")</f>
        <v>-54,00 € (D)</v>
      </c>
      <c r="G15" s="40">
        <f>Enunciado!D32</f>
        <v>9234</v>
      </c>
      <c r="H15" s="60" t="str">
        <f>DOLLAR(C15-G15,2)&amp;IF(G15&gt;C15," (D)"," (F)")</f>
        <v>201,00 € (F)</v>
      </c>
      <c r="I15" s="99">
        <f>(C15-G15)/C15</f>
        <v>2.1303656597774244E-2</v>
      </c>
      <c r="J15" s="112"/>
      <c r="K15" s="113"/>
    </row>
    <row r="16" spans="2:11" x14ac:dyDescent="0.25">
      <c r="B16" s="64" t="s">
        <v>66</v>
      </c>
      <c r="C16" s="40">
        <f>C11+C15</f>
        <v>75868.5</v>
      </c>
      <c r="D16" s="48" t="str">
        <f>DOLLAR(C16-E16,2)&amp;IF(E16&gt;C16," (D)"," (F)")</f>
        <v>1.252,50 € (F)</v>
      </c>
      <c r="E16" s="40">
        <f>E11+E15</f>
        <v>74616</v>
      </c>
      <c r="F16" s="48" t="str">
        <f>DOLLAR(E16-G16,2)&amp;IF(G16&gt;E16," (D)"," (F)")</f>
        <v>-546,00 € (D)</v>
      </c>
      <c r="G16" s="40">
        <f>G11+G15</f>
        <v>75162</v>
      </c>
      <c r="H16" s="60" t="str">
        <f>DOLLAR(C16-G16,2)&amp;IF(G16&gt;C16," (D)"," (F)")</f>
        <v>706,50 € (F)</v>
      </c>
      <c r="I16" s="99">
        <f>(C16-G16)/C16</f>
        <v>9.3121651278198457E-3</v>
      </c>
    </row>
    <row r="17" spans="2:11" x14ac:dyDescent="0.25">
      <c r="B17" s="52" t="s">
        <v>28</v>
      </c>
      <c r="C17" s="34"/>
      <c r="D17" s="43"/>
      <c r="E17" s="34"/>
      <c r="F17" s="34"/>
      <c r="G17" s="34"/>
      <c r="H17" s="57"/>
      <c r="I17" s="36"/>
    </row>
    <row r="18" spans="2:11" x14ac:dyDescent="0.25">
      <c r="B18" s="53" t="s">
        <v>56</v>
      </c>
      <c r="C18" s="5"/>
      <c r="D18" s="5"/>
      <c r="E18" s="5"/>
      <c r="F18" s="5"/>
      <c r="G18" s="5"/>
      <c r="H18" s="58"/>
    </row>
    <row r="19" spans="2:11" x14ac:dyDescent="0.25">
      <c r="B19" s="54" t="s">
        <v>68</v>
      </c>
      <c r="C19" s="2">
        <f>'Solución 1-2'!F30*Enunciado!E27</f>
        <v>42000</v>
      </c>
      <c r="D19" s="5"/>
      <c r="E19" s="2">
        <f>G19</f>
        <v>43900</v>
      </c>
      <c r="F19" s="5"/>
      <c r="G19" s="2">
        <f>Enunciado!E29</f>
        <v>43900</v>
      </c>
      <c r="H19" s="59" t="str">
        <f>FIXED(C19-G19,0)&amp;IF(G19&gt;C19," (D)"," (F)")</f>
        <v>-1.900 (D)</v>
      </c>
      <c r="I19" s="98">
        <f>(C19-G19)/C19</f>
        <v>-4.5238095238095237E-2</v>
      </c>
    </row>
    <row r="20" spans="2:11" x14ac:dyDescent="0.25">
      <c r="B20" s="100" t="s">
        <v>72</v>
      </c>
      <c r="C20" s="101">
        <f>C10</f>
        <v>1.33</v>
      </c>
      <c r="D20" s="101"/>
      <c r="E20" s="101">
        <f>E10</f>
        <v>1.33</v>
      </c>
      <c r="F20" s="101"/>
      <c r="G20" s="101">
        <f>G10</f>
        <v>1.34</v>
      </c>
      <c r="H20" s="103" t="str">
        <f>DOLLAR(C20-G20,4)&amp;IF(G20&gt;C20," (D)"," (F)")</f>
        <v>-0,0100 € (D)</v>
      </c>
      <c r="I20" s="104">
        <f>(C20-G20)/C20</f>
        <v>-7.5187969924812095E-3</v>
      </c>
    </row>
    <row r="21" spans="2:11" x14ac:dyDescent="0.25">
      <c r="B21" s="55" t="s">
        <v>69</v>
      </c>
      <c r="C21" s="40">
        <f>C19*C20</f>
        <v>55860</v>
      </c>
      <c r="D21" s="48" t="str">
        <f>DOLLAR(C21-E21,2)&amp;IF(E21&gt;C21," (D)"," (F)")</f>
        <v>-2.527,00 € (D)</v>
      </c>
      <c r="E21" s="40">
        <f>E19*E20</f>
        <v>58387</v>
      </c>
      <c r="F21" s="48" t="str">
        <f>DOLLAR(E21-G21,2)&amp;IF(G21&gt;E21," (D)"," (F)")</f>
        <v>-439,00 € (D)</v>
      </c>
      <c r="G21" s="40">
        <f>Enunciado!E30</f>
        <v>58826</v>
      </c>
      <c r="H21" s="60" t="str">
        <f>DOLLAR(C21-G21,2)&amp;IF(G21&gt;C21," (D)"," (F)")</f>
        <v>-2.966,00 € (D)</v>
      </c>
      <c r="I21" s="99">
        <f>(C21-G21)/C21</f>
        <v>-5.309702828499821E-2</v>
      </c>
      <c r="K21" s="113"/>
    </row>
    <row r="22" spans="2:11" x14ac:dyDescent="0.25">
      <c r="B22" s="56" t="s">
        <v>59</v>
      </c>
      <c r="C22" s="5"/>
      <c r="D22" s="5"/>
      <c r="E22" s="5"/>
      <c r="F22" s="5"/>
      <c r="G22" s="5"/>
      <c r="H22" s="58"/>
    </row>
    <row r="23" spans="2:11" x14ac:dyDescent="0.25">
      <c r="B23" s="54" t="s">
        <v>70</v>
      </c>
      <c r="C23" s="2">
        <f>'Solución 1-2'!F31*Enunciado!E27</f>
        <v>979.99999999999989</v>
      </c>
      <c r="D23" s="96"/>
      <c r="E23" s="2">
        <f>G23</f>
        <v>1000</v>
      </c>
      <c r="F23" s="96"/>
      <c r="G23" s="2">
        <f>Enunciado!E31</f>
        <v>1000</v>
      </c>
      <c r="H23" s="59" t="str">
        <f>FIXED(C23-G23,1)&amp;IF(G23&gt;C23," (D)"," (F)")</f>
        <v>-20,0 (D)</v>
      </c>
      <c r="I23" s="98">
        <f>(C23-G23)/C23</f>
        <v>-2.0408163265306242E-2</v>
      </c>
    </row>
    <row r="24" spans="2:11" x14ac:dyDescent="0.25">
      <c r="B24" s="100" t="s">
        <v>72</v>
      </c>
      <c r="C24" s="101">
        <f>C14</f>
        <v>8.5</v>
      </c>
      <c r="D24" s="101"/>
      <c r="E24" s="101">
        <f>E14</f>
        <v>8.5</v>
      </c>
      <c r="F24" s="101"/>
      <c r="G24" s="101">
        <f>G14</f>
        <v>8.5500000000000007</v>
      </c>
      <c r="H24" s="103" t="str">
        <f>DOLLAR(C24-G24,4)&amp;IF(G24&gt;C24," (D)"," (F)")</f>
        <v>-0,0500 € (D)</v>
      </c>
      <c r="I24" s="104">
        <f>(C24-G24)/C24</f>
        <v>-5.8823529411765538E-3</v>
      </c>
    </row>
    <row r="25" spans="2:11" x14ac:dyDescent="0.25">
      <c r="B25" s="55" t="s">
        <v>71</v>
      </c>
      <c r="C25" s="40">
        <f>C23*C24</f>
        <v>8329.9999999999982</v>
      </c>
      <c r="D25" s="48" t="str">
        <f>DOLLAR(C25-E25,2)&amp;IF(E25&gt;C25," (D)"," (F)")</f>
        <v>-170,00 € (D)</v>
      </c>
      <c r="E25" s="40">
        <f>E23*E24</f>
        <v>8500</v>
      </c>
      <c r="F25" s="48" t="str">
        <f>DOLLAR(E25-G25,2)&amp;IF(G25&gt;E25," (D)"," (F)")</f>
        <v>-50,00 € (D)</v>
      </c>
      <c r="G25" s="40">
        <f>Enunciado!E32</f>
        <v>8550</v>
      </c>
      <c r="H25" s="60" t="str">
        <f>DOLLAR(C25-G25,2)&amp;IF(G25&gt;C25," (D)"," (F)")</f>
        <v>-220,00 € (D)</v>
      </c>
      <c r="I25" s="99">
        <f>(C25-G25)/C25</f>
        <v>-2.6410564225690502E-2</v>
      </c>
      <c r="K25" s="113"/>
    </row>
    <row r="26" spans="2:11" x14ac:dyDescent="0.25">
      <c r="B26" s="64" t="s">
        <v>67</v>
      </c>
      <c r="C26" s="40">
        <f>C21+C25</f>
        <v>64190</v>
      </c>
      <c r="D26" s="48" t="str">
        <f>DOLLAR(C26-E26,2)&amp;IF(E26&gt;C26," (D)"," (F)")</f>
        <v>-2.697,00 € (D)</v>
      </c>
      <c r="E26" s="40">
        <f>E21+E25</f>
        <v>66887</v>
      </c>
      <c r="F26" s="48" t="str">
        <f>DOLLAR(E26-G26,2)&amp;IF(G26&gt;E26," (D)"," (F)")</f>
        <v>-489,00 € (D)</v>
      </c>
      <c r="G26" s="40">
        <f>G21+G25</f>
        <v>67376</v>
      </c>
      <c r="H26" s="60" t="str">
        <f>DOLLAR(C26-G26,2)&amp;IF(G26&gt;C26," (D)"," (F)")</f>
        <v>-3.186,00 € (D)</v>
      </c>
      <c r="I26" s="99">
        <f>(C26-G26)/C26</f>
        <v>-4.9633899361271223E-2</v>
      </c>
    </row>
    <row r="27" spans="2:11" x14ac:dyDescent="0.25">
      <c r="B27" s="65" t="s">
        <v>5</v>
      </c>
      <c r="C27" s="40">
        <f>C16+C26</f>
        <v>140058.5</v>
      </c>
      <c r="D27" s="48" t="str">
        <f>DOLLAR(C27-E27,2)&amp;IF(E27&gt;C27," (D)"," (F)")</f>
        <v>-1.444,50 € (D)</v>
      </c>
      <c r="E27" s="40">
        <f>E16+E26</f>
        <v>141503</v>
      </c>
      <c r="F27" s="48" t="str">
        <f>DOLLAR(E27-G27,2)&amp;IF(G27&gt;E27," (D)"," (F)")</f>
        <v>-1.035,00 € (D)</v>
      </c>
      <c r="G27" s="40">
        <f>G16+G26</f>
        <v>142538</v>
      </c>
      <c r="H27" s="60" t="str">
        <f>DOLLAR(C27-G27,2)&amp;IF(G27&gt;C27," (D)"," (F)")</f>
        <v>-2.479,50 € (D)</v>
      </c>
      <c r="I27" s="99">
        <f>(C27-G27)/C27</f>
        <v>-1.7703316828325308E-2</v>
      </c>
    </row>
    <row r="28" spans="2:11" ht="150.75" customHeight="1" x14ac:dyDescent="0.25">
      <c r="B28" s="122" t="s">
        <v>108</v>
      </c>
      <c r="C28" s="122"/>
      <c r="D28" s="122"/>
      <c r="E28" s="122"/>
      <c r="F28" s="122"/>
      <c r="G28" s="122"/>
      <c r="H28" s="122"/>
      <c r="I28" s="122"/>
    </row>
    <row r="29" spans="2:11" ht="132" customHeight="1" x14ac:dyDescent="0.25">
      <c r="B29" s="123" t="s">
        <v>109</v>
      </c>
      <c r="C29" s="123"/>
      <c r="D29" s="123"/>
      <c r="E29" s="123"/>
      <c r="F29" s="123"/>
      <c r="G29" s="123"/>
      <c r="H29" s="123"/>
      <c r="I29" s="123"/>
    </row>
  </sheetData>
  <mergeCells count="4">
    <mergeCell ref="B28:I28"/>
    <mergeCell ref="B29:I29"/>
    <mergeCell ref="B2:I2"/>
    <mergeCell ref="B3:I3"/>
  </mergeCells>
  <printOptions horizontalCentered="1"/>
  <pageMargins left="0.43307086614173229" right="0.39370078740157483" top="0.34" bottom="0.43" header="0.31496062992125984" footer="0.31496062992125984"/>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45"/>
  <sheetViews>
    <sheetView showGridLines="0" zoomScaleNormal="100" workbookViewId="0">
      <selection activeCell="D55" sqref="D55"/>
    </sheetView>
  </sheetViews>
  <sheetFormatPr baseColWidth="10" defaultRowHeight="15.75" x14ac:dyDescent="0.25"/>
  <cols>
    <col min="1" max="1" width="2.875" customWidth="1"/>
    <col min="2" max="2" width="43.5" customWidth="1"/>
    <col min="3" max="7" width="13.375" customWidth="1"/>
    <col min="8" max="8" width="13.75" customWidth="1"/>
    <col min="9" max="9" width="7.625" customWidth="1"/>
    <col min="10" max="10" width="12.375" bestFit="1" customWidth="1"/>
  </cols>
  <sheetData>
    <row r="2" spans="2:11" ht="23.25" x14ac:dyDescent="0.35">
      <c r="B2" s="119" t="str">
        <f>Enunciado!B2</f>
        <v>Análisis de desviaciones en Tablesur</v>
      </c>
      <c r="C2" s="119"/>
      <c r="D2" s="119"/>
      <c r="E2" s="119"/>
      <c r="F2" s="119"/>
      <c r="G2" s="119"/>
      <c r="H2" s="119"/>
      <c r="I2" s="119"/>
    </row>
    <row r="3" spans="2:11" ht="18.75" x14ac:dyDescent="0.3">
      <c r="B3" s="120" t="str">
        <f>Enunciado!B3</f>
        <v>© 2015 – Francisco López Cruces</v>
      </c>
      <c r="C3" s="120"/>
      <c r="D3" s="120"/>
      <c r="E3" s="120"/>
      <c r="F3" s="120"/>
      <c r="G3" s="120"/>
      <c r="H3" s="120"/>
      <c r="I3" s="120"/>
    </row>
    <row r="5" spans="2:11" ht="18.75" x14ac:dyDescent="0.3">
      <c r="B5" s="114" t="s">
        <v>118</v>
      </c>
      <c r="C5" s="5"/>
      <c r="D5" s="5"/>
      <c r="E5" s="5"/>
      <c r="F5" s="5"/>
      <c r="G5" s="5"/>
    </row>
    <row r="6" spans="2:11" x14ac:dyDescent="0.25">
      <c r="B6" s="49"/>
      <c r="C6" s="5"/>
      <c r="D6" s="5"/>
      <c r="E6" s="5"/>
      <c r="F6" s="5"/>
      <c r="G6" s="5"/>
    </row>
    <row r="7" spans="2:11" ht="31.5" x14ac:dyDescent="0.25">
      <c r="B7" s="52" t="s">
        <v>27</v>
      </c>
      <c r="C7" s="34" t="s">
        <v>26</v>
      </c>
      <c r="D7" s="43" t="s">
        <v>54</v>
      </c>
      <c r="E7" s="34" t="s">
        <v>55</v>
      </c>
      <c r="F7" s="34" t="s">
        <v>64</v>
      </c>
      <c r="G7" s="34" t="s">
        <v>85</v>
      </c>
      <c r="H7" s="57" t="s">
        <v>65</v>
      </c>
      <c r="I7" s="61" t="s">
        <v>106</v>
      </c>
    </row>
    <row r="8" spans="2:11" x14ac:dyDescent="0.25">
      <c r="B8" s="66" t="s">
        <v>22</v>
      </c>
      <c r="C8" s="5"/>
      <c r="D8" s="5"/>
      <c r="E8" s="5"/>
      <c r="F8" s="5"/>
      <c r="G8" s="5"/>
      <c r="H8" s="69"/>
    </row>
    <row r="9" spans="2:11" x14ac:dyDescent="0.25">
      <c r="B9" s="54" t="s">
        <v>73</v>
      </c>
      <c r="C9" s="2">
        <f>Enunciado!D10*Enunciado!D27</f>
        <v>888</v>
      </c>
      <c r="D9" s="2"/>
      <c r="E9" s="2">
        <f>G9</f>
        <v>870</v>
      </c>
      <c r="F9" s="2"/>
      <c r="G9" s="2">
        <f>Enunciado!D33</f>
        <v>870</v>
      </c>
      <c r="H9" s="59" t="str">
        <f>FIXED(C9-G9,0)&amp;IF(G9&gt;C9," (D)"," (F)")</f>
        <v>18 (F)</v>
      </c>
      <c r="I9" s="98">
        <f>(C9-G9)/C9</f>
        <v>2.0270270270270271E-2</v>
      </c>
    </row>
    <row r="10" spans="2:11" x14ac:dyDescent="0.25">
      <c r="B10" s="100" t="s">
        <v>74</v>
      </c>
      <c r="C10" s="101">
        <f>'Solución 1-2'!C20</f>
        <v>24.125</v>
      </c>
      <c r="D10" s="102"/>
      <c r="E10" s="101">
        <f>C10</f>
        <v>24.125</v>
      </c>
      <c r="F10" s="102"/>
      <c r="G10" s="101">
        <f>Enunciado!D36/SUM(Enunciado!D33:E33)</f>
        <v>23.875</v>
      </c>
      <c r="H10" s="118" t="str">
        <f>DOLLAR(C10-G10,4)&amp;IF(G10&gt;C10," (D)"," (F)")</f>
        <v>0,2500 € (F)</v>
      </c>
      <c r="I10" s="104">
        <f>(C10-G10)/C10</f>
        <v>1.0362694300518135E-2</v>
      </c>
      <c r="J10" s="1"/>
    </row>
    <row r="11" spans="2:11" x14ac:dyDescent="0.25">
      <c r="B11" s="55" t="s">
        <v>78</v>
      </c>
      <c r="C11" s="40">
        <f>C9*C10</f>
        <v>21423</v>
      </c>
      <c r="D11" s="48" t="str">
        <f>DOLLAR(C11-E11,2)&amp;IF(E11&gt;C11," (D)"," (F)")</f>
        <v>434,25 € (F)</v>
      </c>
      <c r="E11" s="40">
        <f>E9*E10</f>
        <v>20988.75</v>
      </c>
      <c r="F11" s="48" t="str">
        <f>DOLLAR(E11-G11,2)&amp;IF(G11&gt;E11," (D)"," (F)")</f>
        <v>217,50 € (F)</v>
      </c>
      <c r="G11" s="40">
        <f>G9*G10</f>
        <v>20771.25</v>
      </c>
      <c r="H11" s="75" t="str">
        <f>DOLLAR(C11-G11,2)&amp;IF(G11&gt;C11," (D)"," (F)")</f>
        <v>651,75 € (F)</v>
      </c>
      <c r="I11" s="99">
        <f>(C11-G11)/C11</f>
        <v>3.0422909956588712E-2</v>
      </c>
      <c r="K11" s="115"/>
    </row>
    <row r="12" spans="2:11" x14ac:dyDescent="0.25">
      <c r="B12" s="56" t="s">
        <v>21</v>
      </c>
      <c r="C12" s="5"/>
      <c r="D12" s="5"/>
      <c r="E12" s="5"/>
      <c r="F12" s="5"/>
      <c r="G12" s="5"/>
      <c r="H12" s="58"/>
    </row>
    <row r="13" spans="2:11" x14ac:dyDescent="0.25">
      <c r="B13" s="54" t="s">
        <v>77</v>
      </c>
      <c r="C13" s="2">
        <f>Enunciado!D27/Enunciado!D7</f>
        <v>37</v>
      </c>
      <c r="D13" s="2"/>
      <c r="E13" s="2">
        <f>G13</f>
        <v>37</v>
      </c>
      <c r="F13" s="2"/>
      <c r="G13" s="2">
        <f>Enunciado!D27/Enunciado!D28</f>
        <v>37</v>
      </c>
      <c r="H13" s="59" t="str">
        <f>FIXED(C13-G13,0)&amp;IF(G13&gt;C13," (D)"," (F)")</f>
        <v>0 (F)</v>
      </c>
      <c r="I13" s="98">
        <f>(C13-G13)/C13</f>
        <v>0</v>
      </c>
    </row>
    <row r="14" spans="2:11" x14ac:dyDescent="0.25">
      <c r="B14" s="100" t="s">
        <v>74</v>
      </c>
      <c r="C14" s="101">
        <f>'Solución 1-2'!C22</f>
        <v>81.45</v>
      </c>
      <c r="D14" s="102"/>
      <c r="E14" s="101">
        <f>C14</f>
        <v>81.45</v>
      </c>
      <c r="F14" s="102"/>
      <c r="G14" s="101">
        <f>Enunciado!D37/SUM(Enunciado!D27/Enunciado!D28,Enunciado!E27/Enunciado!E28)</f>
        <v>82</v>
      </c>
      <c r="H14" s="118" t="str">
        <f>DOLLAR(C14-G14,4)&amp;IF(G14&gt;C14," (D)"," (F)")</f>
        <v>-0,5500 € (D)</v>
      </c>
      <c r="I14" s="104">
        <f>(C14-G14)/C14</f>
        <v>-6.7526089625536785E-3</v>
      </c>
    </row>
    <row r="15" spans="2:11" x14ac:dyDescent="0.25">
      <c r="B15" s="55" t="s">
        <v>79</v>
      </c>
      <c r="C15" s="40">
        <f>C13*C14</f>
        <v>3013.65</v>
      </c>
      <c r="D15" s="48" t="str">
        <f>DOLLAR(C15-E15,2)&amp;IF(E15&gt;C15," (D)"," (F)")</f>
        <v>0,00 € (F)</v>
      </c>
      <c r="E15" s="40">
        <f>E13*E14</f>
        <v>3013.65</v>
      </c>
      <c r="F15" s="48" t="str">
        <f>DOLLAR(E15-G15,2)&amp;IF(G15&gt;E15," (D)"," (F)")</f>
        <v>-20,35 € (D)</v>
      </c>
      <c r="G15" s="40">
        <f>G13*G14</f>
        <v>3034</v>
      </c>
      <c r="H15" s="60" t="str">
        <f>DOLLAR(C15-G15,2)&amp;IF(G15&gt;C15," (D)"," (F)")</f>
        <v>-20,35 € (D)</v>
      </c>
      <c r="I15" s="99">
        <f>(C15-G15)/C15</f>
        <v>-6.7526089625536837E-3</v>
      </c>
      <c r="K15" s="115"/>
    </row>
    <row r="16" spans="2:11" x14ac:dyDescent="0.25">
      <c r="B16" s="67" t="s">
        <v>23</v>
      </c>
      <c r="C16" s="5"/>
      <c r="D16" s="5"/>
      <c r="E16" s="5"/>
      <c r="F16" s="5"/>
      <c r="G16" s="5"/>
      <c r="H16" s="69"/>
    </row>
    <row r="17" spans="2:11" x14ac:dyDescent="0.25">
      <c r="B17" s="54" t="s">
        <v>80</v>
      </c>
      <c r="C17" s="2">
        <f>'Solución 3'!C13</f>
        <v>1110</v>
      </c>
      <c r="D17" s="2"/>
      <c r="E17" s="2">
        <f>'Solución 3'!E13</f>
        <v>1080</v>
      </c>
      <c r="F17" s="2"/>
      <c r="G17" s="2">
        <f>'Solución 3'!G13</f>
        <v>1080</v>
      </c>
      <c r="H17" s="59" t="str">
        <f>FIXED(C17-G17,0)&amp;IF(G17&gt;C17," (D)"," (F)")</f>
        <v>30 (F)</v>
      </c>
      <c r="I17" s="98">
        <f>(C17-G17)/C17</f>
        <v>2.7027027027027029E-2</v>
      </c>
    </row>
    <row r="18" spans="2:11" x14ac:dyDescent="0.25">
      <c r="B18" s="100" t="s">
        <v>74</v>
      </c>
      <c r="C18" s="101">
        <f>'Solución 1-2'!D20</f>
        <v>21.864999999999998</v>
      </c>
      <c r="D18" s="102"/>
      <c r="E18" s="101">
        <f>C18</f>
        <v>21.864999999999998</v>
      </c>
      <c r="F18" s="102"/>
      <c r="G18" s="101">
        <f>Enunciado!E36/SUM(Enunciado!D34:E34)</f>
        <v>22.05</v>
      </c>
      <c r="H18" s="118" t="str">
        <f>DOLLAR(C18-G18,4)&amp;IF(G18&gt;C18," (D)"," (F)")</f>
        <v>-0,1850 € (D)</v>
      </c>
      <c r="I18" s="104">
        <f>(C18-G18)/C18</f>
        <v>-8.4610107477705136E-3</v>
      </c>
    </row>
    <row r="19" spans="2:11" x14ac:dyDescent="0.25">
      <c r="B19" s="55" t="s">
        <v>78</v>
      </c>
      <c r="C19" s="40">
        <f>C17*C18</f>
        <v>24270.149999999998</v>
      </c>
      <c r="D19" s="48" t="str">
        <f>DOLLAR(C19-E19,2)&amp;IF(E19&gt;C19," (D)"," (F)")</f>
        <v>655,95 € (F)</v>
      </c>
      <c r="E19" s="40">
        <f>E17*E18</f>
        <v>23614.199999999997</v>
      </c>
      <c r="F19" s="48" t="str">
        <f>DOLLAR(E19-G19,2)&amp;IF(G19&gt;E19," (D)"," (F)")</f>
        <v>-199,80 € (D)</v>
      </c>
      <c r="G19" s="40">
        <f>G17*G18</f>
        <v>23814</v>
      </c>
      <c r="H19" s="60" t="str">
        <f>DOLLAR(C19-G19,2)&amp;IF(G19&gt;C19," (D)"," (F)")</f>
        <v>456,15 € (F)</v>
      </c>
      <c r="I19" s="99">
        <f>(C19-G19)/C19</f>
        <v>1.8794692245412487E-2</v>
      </c>
      <c r="K19" s="115"/>
    </row>
    <row r="20" spans="2:11" x14ac:dyDescent="0.25">
      <c r="B20" s="67" t="s">
        <v>24</v>
      </c>
      <c r="C20" s="5"/>
      <c r="D20" s="5"/>
      <c r="E20" s="5"/>
      <c r="F20" s="5"/>
      <c r="G20" s="5"/>
      <c r="H20" s="58"/>
    </row>
    <row r="21" spans="2:11" x14ac:dyDescent="0.25">
      <c r="B21" s="54" t="s">
        <v>77</v>
      </c>
      <c r="C21" s="2">
        <f>C13</f>
        <v>37</v>
      </c>
      <c r="D21" s="5"/>
      <c r="E21" s="2">
        <f>E13</f>
        <v>37</v>
      </c>
      <c r="F21" s="5"/>
      <c r="G21" s="2">
        <f>G13</f>
        <v>37</v>
      </c>
      <c r="H21" s="59" t="str">
        <f>FIXED(C21-G21,0)&amp;IF(G21&gt;C21," (D)"," (F)")</f>
        <v>0 (F)</v>
      </c>
      <c r="I21" s="98">
        <f>(C21-G21)/C21</f>
        <v>0</v>
      </c>
    </row>
    <row r="22" spans="2:11" x14ac:dyDescent="0.25">
      <c r="B22" s="100" t="s">
        <v>74</v>
      </c>
      <c r="C22" s="101">
        <f>'Solución 1-2'!D22</f>
        <v>30.15</v>
      </c>
      <c r="D22" s="102"/>
      <c r="E22" s="101">
        <f>C22</f>
        <v>30.15</v>
      </c>
      <c r="F22" s="102"/>
      <c r="G22" s="101">
        <f>Enunciado!E37/SUM(Enunciado!D27/Enunciado!D28,Enunciado!E27/Enunciado!E28)</f>
        <v>30.75</v>
      </c>
      <c r="H22" s="118" t="str">
        <f>DOLLAR(C22-G22,4)&amp;IF(G22&gt;C22," (D)"," (F)")</f>
        <v>-0,6000 € (D)</v>
      </c>
      <c r="I22" s="104">
        <f>(C22-G22)/C22</f>
        <v>-1.9900497512437859E-2</v>
      </c>
    </row>
    <row r="23" spans="2:11" x14ac:dyDescent="0.25">
      <c r="B23" s="55" t="s">
        <v>79</v>
      </c>
      <c r="C23" s="40">
        <f>C21*C22</f>
        <v>1115.55</v>
      </c>
      <c r="D23" s="48" t="str">
        <f>DOLLAR(C23-E23,2)&amp;IF(E23&gt;C23," (D)"," (F)")</f>
        <v>0,00 € (F)</v>
      </c>
      <c r="E23" s="40">
        <f>E21*E22</f>
        <v>1115.55</v>
      </c>
      <c r="F23" s="48" t="str">
        <f>DOLLAR(E23-G23,2)&amp;IF(G23&gt;E23," (D)"," (F)")</f>
        <v>-22,20 € (D)</v>
      </c>
      <c r="G23" s="7">
        <f>G21*G22</f>
        <v>1137.75</v>
      </c>
      <c r="H23" s="60" t="str">
        <f>DOLLAR(C23-G23,2)&amp;IF(G23&gt;C23," (D)"," (F)")</f>
        <v>-22,20 € (D)</v>
      </c>
      <c r="I23" s="99">
        <f>(C23-G23)/C23</f>
        <v>-1.9900497512437852E-2</v>
      </c>
      <c r="K23" s="115"/>
    </row>
    <row r="24" spans="2:11" x14ac:dyDescent="0.25">
      <c r="B24" s="68" t="s">
        <v>81</v>
      </c>
      <c r="C24" s="76">
        <f>C11+C15+C19+C23</f>
        <v>49822.350000000006</v>
      </c>
      <c r="D24" s="48" t="str">
        <f>DOLLAR(C24-E24,2)&amp;IF(E24&gt;C24," (D)"," (F)")</f>
        <v>1.090,20 € (F)</v>
      </c>
      <c r="E24" s="76">
        <f>E11+E15+E19+E23</f>
        <v>48732.15</v>
      </c>
      <c r="F24" s="48" t="str">
        <f>DOLLAR(E24-G24,2)&amp;IF(G24&gt;E24," (D)"," (F)")</f>
        <v>-24,85 € (D)</v>
      </c>
      <c r="G24" s="76">
        <f>G11+G15+G19+G23</f>
        <v>48757</v>
      </c>
      <c r="H24" s="79" t="str">
        <f>DOLLAR(C24-G24,2)&amp;IF(G24&gt;C24," (D)"," (F)")</f>
        <v>1.065,35 € (F)</v>
      </c>
      <c r="I24" s="99">
        <f>(C24-G24)/C24</f>
        <v>2.1382973705576024E-2</v>
      </c>
    </row>
    <row r="25" spans="2:11" ht="31.5" x14ac:dyDescent="0.25">
      <c r="B25" s="52" t="s">
        <v>28</v>
      </c>
      <c r="C25" s="34" t="s">
        <v>26</v>
      </c>
      <c r="D25" s="43" t="s">
        <v>54</v>
      </c>
      <c r="E25" s="34" t="s">
        <v>55</v>
      </c>
      <c r="F25" s="34" t="s">
        <v>64</v>
      </c>
      <c r="G25" s="34" t="s">
        <v>85</v>
      </c>
      <c r="H25" s="57" t="s">
        <v>65</v>
      </c>
      <c r="I25" s="61" t="s">
        <v>106</v>
      </c>
    </row>
    <row r="26" spans="2:11" x14ac:dyDescent="0.25">
      <c r="B26" s="66" t="s">
        <v>22</v>
      </c>
      <c r="C26" s="5"/>
      <c r="D26" s="5"/>
      <c r="E26" s="5"/>
      <c r="F26" s="5"/>
      <c r="G26" s="5"/>
      <c r="H26" s="69"/>
    </row>
    <row r="27" spans="2:11" x14ac:dyDescent="0.25">
      <c r="B27" s="54" t="s">
        <v>73</v>
      </c>
      <c r="C27" s="2">
        <f>Enunciado!E10*Enunciado!E27</f>
        <v>840</v>
      </c>
      <c r="D27" s="2"/>
      <c r="E27" s="2">
        <f>G27</f>
        <v>866</v>
      </c>
      <c r="F27" s="2"/>
      <c r="G27" s="2">
        <f>Enunciado!E33</f>
        <v>866</v>
      </c>
      <c r="H27" s="59" t="str">
        <f>FIXED(C27-G27,0)&amp;IF(G27&gt;C27," (D)"," (F)")</f>
        <v>-26 (D)</v>
      </c>
      <c r="I27" s="98">
        <f>(C27-G27)/C27</f>
        <v>-3.0952380952380953E-2</v>
      </c>
    </row>
    <row r="28" spans="2:11" x14ac:dyDescent="0.25">
      <c r="B28" s="100" t="s">
        <v>74</v>
      </c>
      <c r="C28" s="101">
        <f>C10</f>
        <v>24.125</v>
      </c>
      <c r="D28" s="102"/>
      <c r="E28" s="101">
        <f>C28</f>
        <v>24.125</v>
      </c>
      <c r="F28" s="102"/>
      <c r="G28" s="101">
        <f>G10</f>
        <v>23.875</v>
      </c>
      <c r="H28" s="118" t="str">
        <f>DOLLAR(C28-G28,4)&amp;IF(G28&gt;C28," (D)"," (F)")</f>
        <v>0,2500 € (F)</v>
      </c>
      <c r="I28" s="104">
        <f>(C28-G28)/C28</f>
        <v>1.0362694300518135E-2</v>
      </c>
    </row>
    <row r="29" spans="2:11" x14ac:dyDescent="0.25">
      <c r="B29" s="55" t="s">
        <v>78</v>
      </c>
      <c r="C29" s="40">
        <f>C27*C28</f>
        <v>20265</v>
      </c>
      <c r="D29" s="48" t="str">
        <f>DOLLAR(C29-E29,2)&amp;IF(E29&gt;C29," (D)"," (F)")</f>
        <v>-627,25 € (D)</v>
      </c>
      <c r="E29" s="40">
        <f>E27*E28</f>
        <v>20892.25</v>
      </c>
      <c r="F29" s="48" t="str">
        <f>DOLLAR(E29-G29,2)&amp;IF(G29&gt;E29," (D)"," (F)")</f>
        <v>216,50 € (F)</v>
      </c>
      <c r="G29" s="40">
        <f>G27*G28</f>
        <v>20675.75</v>
      </c>
      <c r="H29" s="75" t="str">
        <f>DOLLAR(C29-G29,2)&amp;IF(G29&gt;C29," (D)"," (F)")</f>
        <v>-410,75 € (D)</v>
      </c>
      <c r="I29" s="99">
        <f>(C29-G29)/C29</f>
        <v>-2.0268936590180114E-2</v>
      </c>
      <c r="J29" s="17"/>
      <c r="K29" s="115"/>
    </row>
    <row r="30" spans="2:11" x14ac:dyDescent="0.25">
      <c r="B30" s="56" t="s">
        <v>21</v>
      </c>
      <c r="C30" s="5"/>
      <c r="D30" s="5"/>
      <c r="E30" s="5"/>
      <c r="F30" s="5"/>
      <c r="G30" s="5"/>
      <c r="H30" s="58"/>
    </row>
    <row r="31" spans="2:11" x14ac:dyDescent="0.25">
      <c r="B31" s="54" t="s">
        <v>77</v>
      </c>
      <c r="C31" s="2">
        <f>Enunciado!E27/Enunciado!E7</f>
        <v>28</v>
      </c>
      <c r="D31" s="2"/>
      <c r="E31" s="2">
        <f>G31</f>
        <v>35</v>
      </c>
      <c r="F31" s="2"/>
      <c r="G31" s="2">
        <f>Enunciado!E27/Enunciado!E28</f>
        <v>35</v>
      </c>
      <c r="H31" s="59" t="str">
        <f>FIXED(C31-G31,0)&amp;IF(G31&gt;C31," (D)"," (F)")</f>
        <v>-7 (D)</v>
      </c>
      <c r="I31" s="98">
        <f>(C31-G31)/C31</f>
        <v>-0.25</v>
      </c>
    </row>
    <row r="32" spans="2:11" x14ac:dyDescent="0.25">
      <c r="B32" s="100" t="s">
        <v>74</v>
      </c>
      <c r="C32" s="101">
        <f>C14</f>
        <v>81.45</v>
      </c>
      <c r="D32" s="102"/>
      <c r="E32" s="101">
        <f>C32</f>
        <v>81.45</v>
      </c>
      <c r="F32" s="102"/>
      <c r="G32" s="101">
        <f>G14</f>
        <v>82</v>
      </c>
      <c r="H32" s="118" t="str">
        <f>DOLLAR(C32-G32,4)&amp;IF(G32&gt;C32," (D)"," (F)")</f>
        <v>-0,5500 € (D)</v>
      </c>
      <c r="I32" s="104">
        <f>(C32-G32)/C32</f>
        <v>-6.7526089625536785E-3</v>
      </c>
      <c r="J32" s="3"/>
      <c r="K32" s="115"/>
    </row>
    <row r="33" spans="2:11" x14ac:dyDescent="0.25">
      <c r="B33" s="55" t="s">
        <v>79</v>
      </c>
      <c r="C33" s="40">
        <f>C31*C32</f>
        <v>2280.6</v>
      </c>
      <c r="D33" s="48" t="str">
        <f>DOLLAR(C33-E33,2)&amp;IF(E33&gt;C33," (D)"," (F)")</f>
        <v>-570,15 € (D)</v>
      </c>
      <c r="E33" s="40">
        <f>E31*E32</f>
        <v>2850.75</v>
      </c>
      <c r="F33" s="48" t="str">
        <f>DOLLAR(E33-G33,2)&amp;IF(G33&gt;E33," (D)"," (F)")</f>
        <v>-19,25 € (D)</v>
      </c>
      <c r="G33" s="40">
        <f>G31*G32</f>
        <v>2870</v>
      </c>
      <c r="H33" s="60" t="str">
        <f>DOLLAR(C33-G33,2)&amp;IF(G33&gt;C33," (D)"," (F)")</f>
        <v>-589,40 € (D)</v>
      </c>
      <c r="I33" s="99">
        <f>(C33-G33)/C33</f>
        <v>-0.2584407612031922</v>
      </c>
      <c r="J33" s="3"/>
    </row>
    <row r="34" spans="2:11" x14ac:dyDescent="0.25">
      <c r="B34" s="67" t="s">
        <v>23</v>
      </c>
      <c r="C34" s="5"/>
      <c r="D34" s="5"/>
      <c r="E34" s="5"/>
      <c r="F34" s="5"/>
      <c r="G34" s="5"/>
      <c r="H34" s="69"/>
    </row>
    <row r="35" spans="2:11" x14ac:dyDescent="0.25">
      <c r="B35" s="54" t="s">
        <v>80</v>
      </c>
      <c r="C35" s="2">
        <f>'Solución 3'!C23</f>
        <v>979.99999999999989</v>
      </c>
      <c r="D35" s="2"/>
      <c r="E35" s="2">
        <f>'Solución 3'!E23</f>
        <v>1000</v>
      </c>
      <c r="F35" s="2"/>
      <c r="G35" s="2">
        <f>'Solución 3'!G23</f>
        <v>1000</v>
      </c>
      <c r="H35" s="59" t="str">
        <f>FIXED(C35-G35,0)&amp;IF(G35&gt;C35," (D)"," (F)")</f>
        <v>-20 (D)</v>
      </c>
      <c r="I35" s="98">
        <f>(C35-G35)/C35</f>
        <v>-2.0408163265306242E-2</v>
      </c>
    </row>
    <row r="36" spans="2:11" x14ac:dyDescent="0.25">
      <c r="B36" s="100" t="s">
        <v>74</v>
      </c>
      <c r="C36" s="101">
        <f>C18</f>
        <v>21.864999999999998</v>
      </c>
      <c r="D36" s="102"/>
      <c r="E36" s="101">
        <f>C36</f>
        <v>21.864999999999998</v>
      </c>
      <c r="F36" s="102"/>
      <c r="G36" s="101">
        <f>G18</f>
        <v>22.05</v>
      </c>
      <c r="H36" s="118" t="str">
        <f>DOLLAR(C36-G36,4)&amp;IF(G36&gt;C36," (D)"," (F)")</f>
        <v>-0,1850 € (D)</v>
      </c>
      <c r="I36" s="104">
        <f>(C36-G36)/C36</f>
        <v>-8.4610107477705136E-3</v>
      </c>
    </row>
    <row r="37" spans="2:11" x14ac:dyDescent="0.25">
      <c r="B37" s="55" t="s">
        <v>78</v>
      </c>
      <c r="C37" s="40">
        <f>C35*C36</f>
        <v>21427.699999999997</v>
      </c>
      <c r="D37" s="48" t="str">
        <f>DOLLAR(C37-E37,2)&amp;IF(E37&gt;C37," (D)"," (F)")</f>
        <v>-437,30 € (D)</v>
      </c>
      <c r="E37" s="40">
        <f>E35*E36</f>
        <v>21865</v>
      </c>
      <c r="F37" s="48" t="str">
        <f>DOLLAR(E37-G37,2)&amp;IF(G37&gt;E37," (D)"," (F)")</f>
        <v>-185,00 € (D)</v>
      </c>
      <c r="G37" s="40">
        <f>G35*G36</f>
        <v>22050</v>
      </c>
      <c r="H37" s="60" t="str">
        <f>DOLLAR(C37-G37,2)&amp;IF(G37&gt;C37," (D)"," (F)")</f>
        <v>-622,30 € (D)</v>
      </c>
      <c r="I37" s="99">
        <f>(C37-G37)/C37</f>
        <v>-2.9041847701806681E-2</v>
      </c>
      <c r="J37" s="3"/>
      <c r="K37" s="115"/>
    </row>
    <row r="38" spans="2:11" x14ac:dyDescent="0.25">
      <c r="B38" s="67" t="s">
        <v>24</v>
      </c>
      <c r="C38" s="5"/>
      <c r="D38" s="5"/>
      <c r="E38" s="5"/>
      <c r="F38" s="5"/>
      <c r="G38" s="5"/>
      <c r="H38" s="58"/>
    </row>
    <row r="39" spans="2:11" x14ac:dyDescent="0.25">
      <c r="B39" s="54" t="s">
        <v>77</v>
      </c>
      <c r="C39" s="2">
        <f>C31</f>
        <v>28</v>
      </c>
      <c r="D39" s="5"/>
      <c r="E39" s="2">
        <f>E31</f>
        <v>35</v>
      </c>
      <c r="F39" s="5"/>
      <c r="G39" s="2">
        <f>G31</f>
        <v>35</v>
      </c>
      <c r="H39" s="59" t="str">
        <f>FIXED(C39-G39,0)&amp;IF(G39&gt;C39," (D)"," (F)")</f>
        <v>-7 (D)</v>
      </c>
      <c r="I39" s="98">
        <f>(C39-G39)/C39</f>
        <v>-0.25</v>
      </c>
    </row>
    <row r="40" spans="2:11" x14ac:dyDescent="0.25">
      <c r="B40" s="100" t="s">
        <v>74</v>
      </c>
      <c r="C40" s="101">
        <f>C22</f>
        <v>30.15</v>
      </c>
      <c r="D40" s="102"/>
      <c r="E40" s="101">
        <f>C40</f>
        <v>30.15</v>
      </c>
      <c r="F40" s="102"/>
      <c r="G40" s="101">
        <f>G22</f>
        <v>30.75</v>
      </c>
      <c r="H40" s="118" t="str">
        <f>DOLLAR(C40-G40,4)&amp;IF(G40&gt;C40," (D)"," (F)")</f>
        <v>-0,6000 € (D)</v>
      </c>
      <c r="I40" s="104">
        <f>(C40-G40)/C40</f>
        <v>-1.9900497512437859E-2</v>
      </c>
    </row>
    <row r="41" spans="2:11" x14ac:dyDescent="0.25">
      <c r="B41" s="55" t="s">
        <v>79</v>
      </c>
      <c r="C41" s="40">
        <f>C39*C40</f>
        <v>844.19999999999993</v>
      </c>
      <c r="D41" s="48" t="str">
        <f>DOLLAR(C41-E41,2)&amp;IF(E41&gt;C41," (D)"," (F)")</f>
        <v>-211,05 € (D)</v>
      </c>
      <c r="E41" s="40">
        <f>E39*E40</f>
        <v>1055.25</v>
      </c>
      <c r="F41" s="48" t="str">
        <f>DOLLAR(E41-G41,2)&amp;IF(G41&gt;E41," (D)"," (F)")</f>
        <v>-21,00 € (D)</v>
      </c>
      <c r="G41" s="7">
        <f>G39*G40</f>
        <v>1076.25</v>
      </c>
      <c r="H41" s="60" t="str">
        <f>DOLLAR(C41-G41,2)&amp;IF(G41&gt;C41," (D)"," (F)")</f>
        <v>-232,05 € (D)</v>
      </c>
      <c r="I41" s="99">
        <f>(C41-G41)/C41</f>
        <v>-0.27487562189054737</v>
      </c>
      <c r="J41" s="6"/>
      <c r="K41" s="115"/>
    </row>
    <row r="42" spans="2:11" x14ac:dyDescent="0.25">
      <c r="B42" s="68" t="s">
        <v>82</v>
      </c>
      <c r="C42" s="76">
        <f>C29+C33+C37+C41</f>
        <v>44817.499999999993</v>
      </c>
      <c r="D42" s="48" t="str">
        <f>DOLLAR(C42-E42,2)&amp;IF(E42&gt;C42," (D)"," (F)")</f>
        <v>-1.845,75 € (D)</v>
      </c>
      <c r="E42" s="76">
        <f>E29+E33+E37+E41</f>
        <v>46663.25</v>
      </c>
      <c r="F42" s="48" t="str">
        <f>DOLLAR(E42-G42,2)&amp;IF(G42&gt;E42," (D)"," (F)")</f>
        <v>-8,75 € (D)</v>
      </c>
      <c r="G42" s="76">
        <f>G29+G33+G37+G41</f>
        <v>46672</v>
      </c>
      <c r="H42" s="79" t="str">
        <f>DOLLAR(C42-G42,2)&amp;IF(G42&gt;C42," (D)"," (F)")</f>
        <v>-1.854,50 € (D)</v>
      </c>
      <c r="I42" s="99">
        <f>(C42-G42)/C42</f>
        <v>-4.13789256428852E-2</v>
      </c>
    </row>
    <row r="43" spans="2:11" x14ac:dyDescent="0.25">
      <c r="B43" s="78" t="s">
        <v>83</v>
      </c>
      <c r="C43" s="76">
        <f>C24+C42</f>
        <v>94639.85</v>
      </c>
      <c r="D43" s="86" t="str">
        <f>DOLLAR(C43-E43,2)&amp;IF(E43&gt;C43," (D)"," (F)")</f>
        <v>-755,55 € (D)</v>
      </c>
      <c r="E43" s="76">
        <f>E24+E42</f>
        <v>95395.4</v>
      </c>
      <c r="F43" s="86" t="str">
        <f>DOLLAR(E43-G43,2)&amp;IF(G43&gt;E43," (D)"," (F)")</f>
        <v>-33,60 € (D)</v>
      </c>
      <c r="G43" s="76">
        <f>G24+G42</f>
        <v>95429</v>
      </c>
      <c r="H43" s="79" t="str">
        <f>DOLLAR(C43-G43,2)&amp;IF(G43&gt;C43," (D)"," (F)")</f>
        <v>-789,15 € (D)</v>
      </c>
      <c r="I43" s="116">
        <f>(C43-G43)/C43</f>
        <v>-8.3384536218093549E-3</v>
      </c>
    </row>
    <row r="44" spans="2:11" ht="231" customHeight="1" x14ac:dyDescent="0.25">
      <c r="B44" s="124" t="s">
        <v>110</v>
      </c>
      <c r="C44" s="124"/>
      <c r="D44" s="124"/>
      <c r="E44" s="124"/>
      <c r="F44" s="124"/>
      <c r="G44" s="124"/>
      <c r="H44" s="124"/>
      <c r="I44" s="124"/>
    </row>
    <row r="45" spans="2:11" ht="240" customHeight="1" x14ac:dyDescent="0.25">
      <c r="B45" s="124" t="s">
        <v>119</v>
      </c>
      <c r="C45" s="124"/>
      <c r="D45" s="124"/>
      <c r="E45" s="124"/>
      <c r="F45" s="124"/>
      <c r="G45" s="124"/>
      <c r="H45" s="124"/>
      <c r="I45" s="124"/>
    </row>
  </sheetData>
  <mergeCells count="4">
    <mergeCell ref="B44:I44"/>
    <mergeCell ref="B45:I45"/>
    <mergeCell ref="B2:I2"/>
    <mergeCell ref="B3:I3"/>
  </mergeCells>
  <pageMargins left="0.44" right="0.41" top="0.6" bottom="0.56000000000000005" header="0.31496062992125984" footer="0.31496062992125984"/>
  <pageSetup paperSize="9" scale="6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1"/>
  <sheetViews>
    <sheetView showGridLines="0" topLeftCell="A4" zoomScaleNormal="100" workbookViewId="0">
      <selection activeCell="J30" sqref="J30"/>
    </sheetView>
  </sheetViews>
  <sheetFormatPr baseColWidth="10" defaultRowHeight="15.75" x14ac:dyDescent="0.25"/>
  <cols>
    <col min="1" max="1" width="2.875" customWidth="1"/>
    <col min="2" max="2" width="43.5" customWidth="1"/>
    <col min="3" max="7" width="13.375" customWidth="1"/>
    <col min="8" max="8" width="13.75" customWidth="1"/>
    <col min="9" max="9" width="7.625" customWidth="1"/>
    <col min="10" max="10" width="12.375" bestFit="1" customWidth="1"/>
  </cols>
  <sheetData>
    <row r="2" spans="2:9" ht="23.25" x14ac:dyDescent="0.35">
      <c r="B2" s="119" t="str">
        <f>Enunciado!B2</f>
        <v>Análisis de desviaciones en Tablesur</v>
      </c>
      <c r="C2" s="119"/>
      <c r="D2" s="119"/>
      <c r="E2" s="119"/>
      <c r="F2" s="119"/>
      <c r="G2" s="119"/>
      <c r="H2" s="119"/>
      <c r="I2" s="119"/>
    </row>
    <row r="3" spans="2:9" ht="18.75" x14ac:dyDescent="0.3">
      <c r="B3" s="120" t="str">
        <f>Enunciado!B3</f>
        <v>© 2015 – Francisco López Cruces</v>
      </c>
      <c r="C3" s="120"/>
      <c r="D3" s="120"/>
      <c r="E3" s="120"/>
      <c r="F3" s="120"/>
      <c r="G3" s="120"/>
      <c r="H3" s="120"/>
      <c r="I3" s="120"/>
    </row>
    <row r="5" spans="2:9" ht="18.75" x14ac:dyDescent="0.3">
      <c r="B5" s="114" t="s">
        <v>120</v>
      </c>
    </row>
    <row r="7" spans="2:9" ht="31.5" x14ac:dyDescent="0.25">
      <c r="B7" s="52" t="s">
        <v>27</v>
      </c>
      <c r="C7" s="34" t="s">
        <v>91</v>
      </c>
      <c r="D7" s="43" t="s">
        <v>92</v>
      </c>
      <c r="E7" s="34" t="s">
        <v>93</v>
      </c>
      <c r="F7" s="34" t="s">
        <v>64</v>
      </c>
      <c r="G7" s="34" t="s">
        <v>85</v>
      </c>
      <c r="H7" s="57" t="s">
        <v>94</v>
      </c>
      <c r="I7" s="61" t="s">
        <v>106</v>
      </c>
    </row>
    <row r="8" spans="2:9" x14ac:dyDescent="0.25">
      <c r="B8" s="84" t="s">
        <v>96</v>
      </c>
      <c r="C8" s="82"/>
      <c r="D8" s="50"/>
      <c r="E8" s="82"/>
      <c r="F8" s="82"/>
      <c r="G8" s="82"/>
      <c r="H8" s="83"/>
    </row>
    <row r="9" spans="2:9" x14ac:dyDescent="0.25">
      <c r="B9" s="54" t="s">
        <v>111</v>
      </c>
      <c r="C9" s="2">
        <f>'Solución 4'!C9</f>
        <v>888</v>
      </c>
      <c r="D9" s="5"/>
      <c r="E9" s="2">
        <f>Enunciado!D6*Enunciado!D10/12</f>
        <v>800</v>
      </c>
      <c r="F9" s="5"/>
      <c r="G9" s="2">
        <f>E9</f>
        <v>800</v>
      </c>
      <c r="H9" s="59" t="str">
        <f>FIXED(C9-G9,0)&amp;IF(G9&gt;C9," (D)"," (F)")</f>
        <v>88 (F)</v>
      </c>
      <c r="I9" s="98">
        <f>(C9-G9)/C9</f>
        <v>9.90990990990991E-2</v>
      </c>
    </row>
    <row r="10" spans="2:9" x14ac:dyDescent="0.25">
      <c r="B10" s="100" t="s">
        <v>74</v>
      </c>
      <c r="C10" s="101">
        <f>'Solución 1-2'!C24</f>
        <v>17.024999999999999</v>
      </c>
      <c r="D10" s="102"/>
      <c r="E10" s="101">
        <f>C10</f>
        <v>17.024999999999999</v>
      </c>
      <c r="F10" s="102"/>
      <c r="G10" s="101">
        <f>Enunciado!D38/(SUM('Solución 1-2'!E13)/12)</f>
        <v>17.350000000000001</v>
      </c>
      <c r="H10" s="118" t="str">
        <f>DOLLAR(C10-G10,4)&amp;IF(G10&gt;C10," (D)"," (F)")</f>
        <v>-0,3250 € (D)</v>
      </c>
      <c r="I10" s="104">
        <f>(C10-G10)/C10</f>
        <v>-1.908957415565362E-2</v>
      </c>
    </row>
    <row r="11" spans="2:9" x14ac:dyDescent="0.25">
      <c r="B11" s="55" t="s">
        <v>95</v>
      </c>
      <c r="C11" s="40">
        <f>C9*C10</f>
        <v>15118.199999999999</v>
      </c>
      <c r="D11" s="48" t="str">
        <f>DOLLAR(C11-E11,2)&amp;IF(E11&gt;C11," (D)"," (F)")</f>
        <v>1.498,20 € (F)</v>
      </c>
      <c r="E11" s="40">
        <f>E9*E10</f>
        <v>13619.999999999998</v>
      </c>
      <c r="F11" s="48" t="str">
        <f>DOLLAR(E11-G11,2)&amp;IF(G11&gt;E11," (D)"," (F)")</f>
        <v>-260,00 € (D)</v>
      </c>
      <c r="G11" s="40">
        <f>G9*G10</f>
        <v>13880.000000000002</v>
      </c>
      <c r="H11" s="75" t="str">
        <f>DOLLAR(C11-G11,2)&amp;IF(G11&gt;C11," (D)"," (F)")</f>
        <v>1.238,20 € (F)</v>
      </c>
      <c r="I11" s="99">
        <f>(C11-G11)/C11</f>
        <v>8.1901284544456165E-2</v>
      </c>
    </row>
    <row r="12" spans="2:9" x14ac:dyDescent="0.25">
      <c r="B12" s="67" t="s">
        <v>97</v>
      </c>
      <c r="C12" s="77"/>
      <c r="D12" s="51"/>
      <c r="E12" s="77"/>
      <c r="F12" s="51"/>
      <c r="G12" s="77"/>
      <c r="H12" s="73"/>
    </row>
    <row r="13" spans="2:9" x14ac:dyDescent="0.25">
      <c r="B13" s="54" t="s">
        <v>111</v>
      </c>
      <c r="C13" s="2">
        <f>'Solución 4'!C17</f>
        <v>1110</v>
      </c>
      <c r="D13" s="5"/>
      <c r="E13" s="2">
        <f>'Solución 1-2'!C16/12</f>
        <v>1000</v>
      </c>
      <c r="F13" s="5"/>
      <c r="G13" s="2">
        <f>E13</f>
        <v>1000</v>
      </c>
      <c r="H13" s="59" t="str">
        <f>FIXED(C13-G13,0)&amp;IF(G13&gt;C13," (D)"," (F)")</f>
        <v>110 (F)</v>
      </c>
      <c r="I13" s="98">
        <f>(C13-G13)/C13</f>
        <v>9.90990990990991E-2</v>
      </c>
    </row>
    <row r="14" spans="2:9" x14ac:dyDescent="0.25">
      <c r="B14" s="100" t="s">
        <v>74</v>
      </c>
      <c r="C14" s="101">
        <f>'Solución 1-2'!D24</f>
        <v>9.4049999999999994</v>
      </c>
      <c r="D14" s="102"/>
      <c r="E14" s="101">
        <f>C14</f>
        <v>9.4049999999999994</v>
      </c>
      <c r="F14" s="102"/>
      <c r="G14" s="101">
        <f>Enunciado!E38/(SUM('Solución 1-2'!E16)/12)</f>
        <v>9.3800000000000008</v>
      </c>
      <c r="H14" s="118" t="str">
        <f>DOLLAR(C14-G14,4)&amp;IF(G14&gt;C14," (D)"," (F)")</f>
        <v>0,0250 € (F)</v>
      </c>
      <c r="I14" s="104">
        <f>(C14-G14)/C14</f>
        <v>2.6581605528972442E-3</v>
      </c>
    </row>
    <row r="15" spans="2:9" x14ac:dyDescent="0.25">
      <c r="B15" s="55" t="s">
        <v>95</v>
      </c>
      <c r="C15" s="40">
        <f>C13*C14</f>
        <v>10439.549999999999</v>
      </c>
      <c r="D15" s="48" t="str">
        <f>DOLLAR(C15-E15,2)&amp;IF(E15&gt;C15," (D)"," (F)")</f>
        <v>1.034,55 € (F)</v>
      </c>
      <c r="E15" s="40">
        <f>E13*E14</f>
        <v>9405</v>
      </c>
      <c r="F15" s="48" t="str">
        <f>DOLLAR(E15-G15,2)&amp;IF(G15&gt;E15," (D)"," (F)")</f>
        <v>25,00 € (F)</v>
      </c>
      <c r="G15" s="40">
        <f>G13*G14</f>
        <v>9380</v>
      </c>
      <c r="H15" s="75" t="str">
        <f>DOLLAR(C15-G15,2)&amp;IF(G15&gt;C15," (D)"," (F)")</f>
        <v>1.059,55 € (F)</v>
      </c>
      <c r="I15" s="99">
        <f>(C15-G15)/C15</f>
        <v>0.10149383833594354</v>
      </c>
    </row>
    <row r="16" spans="2:9" x14ac:dyDescent="0.25">
      <c r="B16" s="64" t="s">
        <v>98</v>
      </c>
      <c r="C16" s="40">
        <f>C11+C15</f>
        <v>25557.75</v>
      </c>
      <c r="D16" s="48" t="str">
        <f>DOLLAR(C16-E16,2)&amp;IF(E16&gt;C16," (D)"," (F)")</f>
        <v>2.532,75 € (F)</v>
      </c>
      <c r="E16" s="40">
        <f>E11+E15</f>
        <v>23025</v>
      </c>
      <c r="F16" s="48" t="str">
        <f>DOLLAR(E16-G16,2)&amp;IF(G16&gt;E16," (D)"," (F)")</f>
        <v>-235,00 € (D)</v>
      </c>
      <c r="G16" s="40">
        <f>G11+G15</f>
        <v>23260</v>
      </c>
      <c r="H16" s="75" t="str">
        <f>DOLLAR(C16-G16,2)&amp;IF(G16&gt;C16," (D)"," (F)")</f>
        <v>2.297,75 € (F)</v>
      </c>
      <c r="I16" s="99">
        <f>(C16-G16)/C16</f>
        <v>8.9904236484041042E-2</v>
      </c>
    </row>
    <row r="17" spans="2:11" x14ac:dyDescent="0.25">
      <c r="B17" s="52" t="s">
        <v>28</v>
      </c>
      <c r="C17" s="34"/>
      <c r="D17" s="43"/>
      <c r="E17" s="34"/>
      <c r="F17" s="34"/>
      <c r="G17" s="34"/>
      <c r="H17" s="57"/>
      <c r="I17" s="36"/>
    </row>
    <row r="18" spans="2:11" x14ac:dyDescent="0.25">
      <c r="B18" s="84" t="s">
        <v>96</v>
      </c>
      <c r="C18" s="82"/>
      <c r="D18" s="50"/>
      <c r="E18" s="82"/>
      <c r="F18" s="82"/>
      <c r="G18" s="82"/>
      <c r="H18" s="83"/>
    </row>
    <row r="19" spans="2:11" x14ac:dyDescent="0.25">
      <c r="B19" s="54" t="s">
        <v>111</v>
      </c>
      <c r="C19" s="2">
        <f>'Solución 4'!C27</f>
        <v>840</v>
      </c>
      <c r="D19" s="5"/>
      <c r="E19" s="2">
        <f>'Solución 1-2'!D13/12</f>
        <v>900</v>
      </c>
      <c r="F19" s="5"/>
      <c r="G19" s="2">
        <f>E19</f>
        <v>900</v>
      </c>
      <c r="H19" s="59" t="str">
        <f>FIXED(C19-G19,0)&amp;IF(G19&gt;C19," (D)"," (F)")</f>
        <v>-60 (D)</v>
      </c>
      <c r="I19" s="98">
        <f>(C19-G19)/C19</f>
        <v>-7.1428571428571425E-2</v>
      </c>
    </row>
    <row r="20" spans="2:11" x14ac:dyDescent="0.25">
      <c r="B20" s="100" t="s">
        <v>74</v>
      </c>
      <c r="C20" s="101">
        <f>C10</f>
        <v>17.024999999999999</v>
      </c>
      <c r="D20" s="102"/>
      <c r="E20" s="101">
        <f>C20</f>
        <v>17.024999999999999</v>
      </c>
      <c r="F20" s="102"/>
      <c r="G20" s="101">
        <f>G10</f>
        <v>17.350000000000001</v>
      </c>
      <c r="H20" s="118" t="str">
        <f>DOLLAR(C20-G20,4)&amp;IF(G20&gt;C20," (D)"," (F)")</f>
        <v>-0,3250 € (D)</v>
      </c>
      <c r="I20" s="104">
        <f>(C20-G20)/C20</f>
        <v>-1.908957415565362E-2</v>
      </c>
    </row>
    <row r="21" spans="2:11" x14ac:dyDescent="0.25">
      <c r="B21" s="55" t="s">
        <v>95</v>
      </c>
      <c r="C21" s="40">
        <f>C19*C20</f>
        <v>14300.999999999998</v>
      </c>
      <c r="D21" s="48" t="str">
        <f>DOLLAR(C21-E21,2)&amp;IF(E21&gt;C21," (D)"," (F)")</f>
        <v>-1.021,50 € (D)</v>
      </c>
      <c r="E21" s="40">
        <f>E19*E20</f>
        <v>15322.499999999998</v>
      </c>
      <c r="F21" s="48" t="str">
        <f>DOLLAR(E21-G21,2)&amp;IF(G21&gt;E21," (D)"," (F)")</f>
        <v>-292,50 € (D)</v>
      </c>
      <c r="G21" s="40">
        <f>G19*G20</f>
        <v>15615.000000000002</v>
      </c>
      <c r="H21" s="75" t="str">
        <f>DOLLAR(C21-G21,2)&amp;IF(G21&gt;C21," (D)"," (F)")</f>
        <v>-1.314,00 € (D)</v>
      </c>
      <c r="I21" s="99">
        <f>(C21-G21)/C21</f>
        <v>-9.1881686595343251E-2</v>
      </c>
      <c r="J21" s="3"/>
    </row>
    <row r="22" spans="2:11" x14ac:dyDescent="0.25">
      <c r="B22" s="67" t="s">
        <v>97</v>
      </c>
      <c r="C22" s="77"/>
      <c r="D22" s="51"/>
      <c r="E22" s="77"/>
      <c r="F22" s="51"/>
      <c r="G22" s="77"/>
      <c r="H22" s="73"/>
    </row>
    <row r="23" spans="2:11" x14ac:dyDescent="0.25">
      <c r="B23" s="54" t="s">
        <v>111</v>
      </c>
      <c r="C23" s="2">
        <f>'Solución 4'!C35</f>
        <v>979.99999999999989</v>
      </c>
      <c r="D23" s="5"/>
      <c r="E23" s="2">
        <f>'Solución 1-2'!D16/12</f>
        <v>1050</v>
      </c>
      <c r="F23" s="5"/>
      <c r="G23" s="2">
        <f>E23</f>
        <v>1050</v>
      </c>
      <c r="H23" s="59" t="str">
        <f>FIXED(C23-G23,0)&amp;IF(G23&gt;C23," (D)"," (F)")</f>
        <v>-70 (D)</v>
      </c>
      <c r="I23" s="98">
        <f t="shared" ref="I23:I29" si="0">(C23-G23)/C23</f>
        <v>-7.142857142857155E-2</v>
      </c>
    </row>
    <row r="24" spans="2:11" x14ac:dyDescent="0.25">
      <c r="B24" s="100" t="s">
        <v>74</v>
      </c>
      <c r="C24" s="101">
        <f>C14</f>
        <v>9.4049999999999994</v>
      </c>
      <c r="D24" s="102"/>
      <c r="E24" s="101">
        <f>C24</f>
        <v>9.4049999999999994</v>
      </c>
      <c r="F24" s="102"/>
      <c r="G24" s="101">
        <f>G14</f>
        <v>9.3800000000000008</v>
      </c>
      <c r="H24" s="118" t="str">
        <f>DOLLAR(C24-G24,4)&amp;IF(G24&gt;C24," (D)"," (F)")</f>
        <v>0,0250 € (F)</v>
      </c>
      <c r="I24" s="104">
        <f t="shared" si="0"/>
        <v>2.6581605528972442E-3</v>
      </c>
    </row>
    <row r="25" spans="2:11" x14ac:dyDescent="0.25">
      <c r="B25" s="55" t="s">
        <v>95</v>
      </c>
      <c r="C25" s="40">
        <f>C23*C24</f>
        <v>9216.8999999999978</v>
      </c>
      <c r="D25" s="48" t="str">
        <f>DOLLAR(C25-E25,2)&amp;IF(E25&gt;C25," (D)"," (F)")</f>
        <v>-658,35 € (D)</v>
      </c>
      <c r="E25" s="40">
        <f>E23*E24</f>
        <v>9875.25</v>
      </c>
      <c r="F25" s="48" t="str">
        <f>DOLLAR(E25-G25,2)&amp;IF(G25&gt;E25," (D)"," (F)")</f>
        <v>26,25 € (F)</v>
      </c>
      <c r="G25" s="40">
        <f>G23*G24</f>
        <v>9849</v>
      </c>
      <c r="H25" s="75" t="str">
        <f>DOLLAR(C25-G25,2)&amp;IF(G25&gt;C25," (D)"," (F)")</f>
        <v>-632,10 € (D)</v>
      </c>
      <c r="I25" s="99">
        <f t="shared" si="0"/>
        <v>-6.8580542264753047E-2</v>
      </c>
    </row>
    <row r="26" spans="2:11" x14ac:dyDescent="0.25">
      <c r="B26" s="64" t="s">
        <v>99</v>
      </c>
      <c r="C26" s="40">
        <f>C21+C25</f>
        <v>23517.899999999994</v>
      </c>
      <c r="D26" s="48" t="str">
        <f>DOLLAR(C26-E26,2)&amp;IF(E26&gt;C26," (D)"," (F)")</f>
        <v>-1.679,85 € (D)</v>
      </c>
      <c r="E26" s="40">
        <f>E21+E25</f>
        <v>25197.75</v>
      </c>
      <c r="F26" s="48" t="str">
        <f>DOLLAR(E26-G26,2)&amp;IF(G26&gt;E26," (D)"," (F)")</f>
        <v>-266,25 € (D)</v>
      </c>
      <c r="G26" s="40">
        <f>G21+G25</f>
        <v>25464</v>
      </c>
      <c r="H26" s="75" t="str">
        <f>DOLLAR(C26-G26,2)&amp;IF(G26&gt;C26," (D)"," (F)")</f>
        <v>-1.946,10 € (D)</v>
      </c>
      <c r="I26" s="99">
        <f t="shared" si="0"/>
        <v>-8.27497353079997E-2</v>
      </c>
    </row>
    <row r="27" spans="2:11" x14ac:dyDescent="0.25">
      <c r="B27" s="78" t="s">
        <v>101</v>
      </c>
      <c r="C27" s="76">
        <f>C16+C26</f>
        <v>49075.649999999994</v>
      </c>
      <c r="D27" s="86" t="str">
        <f>DOLLAR(C27-E27,2)&amp;IF(E27&gt;C27," (D)"," (F)")</f>
        <v>852,90 € (F)</v>
      </c>
      <c r="E27" s="76">
        <f>E16+E26</f>
        <v>48222.75</v>
      </c>
      <c r="F27" s="86" t="str">
        <f>DOLLAR(E27-G27,2)&amp;IF(G27&gt;E27," (D)"," (F)")</f>
        <v>-501,25 € (D)</v>
      </c>
      <c r="G27" s="76">
        <f>G16+G26</f>
        <v>48724</v>
      </c>
      <c r="H27" s="87" t="str">
        <f>DOLLAR(C27-G27,2)&amp;IF(G27&gt;C27," (D)"," (F)")</f>
        <v>351,65 € (F)</v>
      </c>
      <c r="I27" s="99">
        <f t="shared" si="0"/>
        <v>7.1654680070461461E-3</v>
      </c>
      <c r="K27" s="3"/>
    </row>
    <row r="28" spans="2:11" x14ac:dyDescent="0.25">
      <c r="B28" s="80" t="s">
        <v>100</v>
      </c>
      <c r="C28" s="3">
        <f>C11+C21</f>
        <v>29419.199999999997</v>
      </c>
      <c r="D28" s="88" t="str">
        <f>DOLLAR(C28-E28,2)&amp;IF(E28&gt;C28," (D)"," (F)")</f>
        <v>476,70 € (F)</v>
      </c>
      <c r="E28" s="3">
        <f>E11+E21</f>
        <v>28942.499999999996</v>
      </c>
      <c r="F28" s="88" t="str">
        <f>DOLLAR(E28-G28,2)&amp;IF(G28&gt;E28," (D)"," (F)")</f>
        <v>-552,50 € (D)</v>
      </c>
      <c r="G28" s="3">
        <f>G11+G21</f>
        <v>29495.000000000004</v>
      </c>
      <c r="H28" s="59" t="str">
        <f>DOLLAR(C28-G28,2)&amp;IF(G28&gt;C28," (D)"," (F)")</f>
        <v>-75,80 € (D)</v>
      </c>
      <c r="I28" s="117">
        <f t="shared" si="0"/>
        <v>-2.5765486485018817E-3</v>
      </c>
      <c r="K28" s="3"/>
    </row>
    <row r="29" spans="2:11" x14ac:dyDescent="0.25">
      <c r="B29" s="85" t="s">
        <v>102</v>
      </c>
      <c r="C29" s="40">
        <f>C15+C25</f>
        <v>19656.449999999997</v>
      </c>
      <c r="D29" s="89" t="str">
        <f>DOLLAR(C29-E29,2)&amp;IF(E29&gt;C29," (D)"," (F)")</f>
        <v>376,20 € (F)</v>
      </c>
      <c r="E29" s="40">
        <f>E15+E25</f>
        <v>19280.25</v>
      </c>
      <c r="F29" s="89" t="str">
        <f>DOLLAR(E29-G29,2)&amp;IF(G29&gt;E29," (D)"," (F)")</f>
        <v>51,25 € (F)</v>
      </c>
      <c r="G29" s="40">
        <f>G15+G25</f>
        <v>19229</v>
      </c>
      <c r="H29" s="90" t="str">
        <f>DOLLAR(C29-G29,2)&amp;IF(G29&gt;C29," (D)"," (F)")</f>
        <v>427,45 € (F)</v>
      </c>
      <c r="I29" s="99">
        <f t="shared" si="0"/>
        <v>2.174604264757864E-2</v>
      </c>
    </row>
    <row r="30" spans="2:11" ht="201.75" customHeight="1" x14ac:dyDescent="0.25">
      <c r="B30" s="124" t="s">
        <v>112</v>
      </c>
      <c r="C30" s="124"/>
      <c r="D30" s="124"/>
      <c r="E30" s="124"/>
      <c r="F30" s="124"/>
      <c r="G30" s="124"/>
      <c r="H30" s="124"/>
      <c r="I30" s="124"/>
    </row>
    <row r="31" spans="2:11" ht="50.25" customHeight="1" x14ac:dyDescent="0.25">
      <c r="B31" s="124" t="s">
        <v>113</v>
      </c>
      <c r="C31" s="124"/>
      <c r="D31" s="124"/>
      <c r="E31" s="124"/>
      <c r="F31" s="124"/>
      <c r="G31" s="124"/>
      <c r="H31" s="124"/>
      <c r="I31" s="124"/>
    </row>
  </sheetData>
  <mergeCells count="4">
    <mergeCell ref="B2:I2"/>
    <mergeCell ref="B3:I3"/>
    <mergeCell ref="B30:I30"/>
    <mergeCell ref="B31:I31"/>
  </mergeCells>
  <printOptions horizontalCentered="1"/>
  <pageMargins left="0.43307086614173229" right="0.39370078740157483" top="0.31" bottom="0.38"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Enunciado</vt:lpstr>
      <vt:lpstr>Solución 1-2</vt:lpstr>
      <vt:lpstr>Solución 3</vt:lpstr>
      <vt:lpstr>Solución 4</vt:lpstr>
      <vt:lpstr>Solución 5</vt:lpstr>
      <vt:lpstr>Enunciado!Área_de_impresión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FLC</dc:creator>
  <cp:lastModifiedBy>Mercedes Ruíz Lozano</cp:lastModifiedBy>
  <cp:lastPrinted>2015-07-02T07:32:51Z</cp:lastPrinted>
  <dcterms:created xsi:type="dcterms:W3CDTF">2012-04-04T09:32:50Z</dcterms:created>
  <dcterms:modified xsi:type="dcterms:W3CDTF">2015-07-06T11:28:22Z</dcterms:modified>
</cp:coreProperties>
</file>