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ropbox\ELISA-JULIAN\Libro practica dionisio\Manual de Casos Prácticos sobre Contabilidad de Gestión\CASO ABC\ejercicio\"/>
    </mc:Choice>
  </mc:AlternateContent>
  <bookViews>
    <workbookView xWindow="120" yWindow="105" windowWidth="17715" windowHeight="9285" activeTab="2"/>
  </bookViews>
  <sheets>
    <sheet name="Datos Enunciado" sheetId="4" r:id="rId1"/>
    <sheet name="Hoja1" sheetId="1" state="hidden" r:id="rId2"/>
    <sheet name="Solución" sheetId="2" r:id="rId3"/>
    <sheet name="Hoja3" sheetId="3" state="hidden" r:id="rId4"/>
    <sheet name="Datos Enunciado (2)" sheetId="5" state="hidden" r:id="rId5"/>
    <sheet name="Solución (2)" sheetId="6" state="hidden" r:id="rId6"/>
  </sheets>
  <definedNames>
    <definedName name="_Ref410473305" localSheetId="0">'Datos Enunciado'!$B$11</definedName>
    <definedName name="_Ref410473305" localSheetId="4">'Datos Enunciado (2)'!$B$11</definedName>
    <definedName name="_Ref410500562" localSheetId="2">Solución!$B$25</definedName>
    <definedName name="_Ref410500562" localSheetId="5">'Solución (2)'!$B$25</definedName>
    <definedName name="_Ref410501212" localSheetId="0">'Datos Enunciado'!$C$25</definedName>
    <definedName name="_Ref410501212" localSheetId="4">'Datos Enunciado (2)'!$C$25</definedName>
  </definedNames>
  <calcPr calcId="152511"/>
</workbook>
</file>

<file path=xl/calcChain.xml><?xml version="1.0" encoding="utf-8"?>
<calcChain xmlns="http://schemas.openxmlformats.org/spreadsheetml/2006/main">
  <c r="G33" i="5" l="1"/>
  <c r="H30" i="5"/>
  <c r="H31" i="5"/>
  <c r="H32" i="5"/>
  <c r="H29" i="5"/>
  <c r="D8" i="4"/>
  <c r="B2" i="2" s="1" a="1"/>
  <c r="B2" i="2" s="1"/>
  <c r="D8" i="5"/>
  <c r="D80" i="6" a="1"/>
  <c r="F80" i="6" s="1"/>
  <c r="B70" i="6" a="1"/>
  <c r="C75" i="6" s="1"/>
  <c r="H40" i="6"/>
  <c r="D40" i="6" a="1"/>
  <c r="E41" i="6" s="1"/>
  <c r="J37" i="6"/>
  <c r="J36" i="6"/>
  <c r="J35" i="6"/>
  <c r="J34" i="6"/>
  <c r="J33" i="6"/>
  <c r="J32" i="6"/>
  <c r="J31" i="6"/>
  <c r="J30" i="6"/>
  <c r="J29" i="6"/>
  <c r="J28" i="6"/>
  <c r="F27" i="6"/>
  <c r="E27" i="6"/>
  <c r="D27" i="6" a="1"/>
  <c r="H27" i="6" s="1"/>
  <c r="F19" i="6"/>
  <c r="E19" i="6"/>
  <c r="D19" i="6"/>
  <c r="C19" i="6"/>
  <c r="G18" i="6"/>
  <c r="H18" i="6" s="1"/>
  <c r="G17" i="6"/>
  <c r="H17" i="6" s="1"/>
  <c r="G16" i="6"/>
  <c r="H16" i="6" s="1"/>
  <c r="G15" i="6"/>
  <c r="H15" i="6" s="1"/>
  <c r="D6" i="6"/>
  <c r="B5" i="6"/>
  <c r="B3" i="6"/>
  <c r="B2" i="6" a="1"/>
  <c r="B8" i="6" s="1"/>
  <c r="F33" i="5"/>
  <c r="E33" i="5"/>
  <c r="D33" i="5"/>
  <c r="C33" i="5"/>
  <c r="C22" i="5"/>
  <c r="B39" i="5" s="1" a="1"/>
  <c r="H33" i="4"/>
  <c r="G33" i="4"/>
  <c r="F33" i="4"/>
  <c r="E33" i="4"/>
  <c r="D33" i="4"/>
  <c r="C33" i="4"/>
  <c r="H81" i="2" s="1" a="1"/>
  <c r="H82" i="2" s="1"/>
  <c r="D81" i="2" a="1"/>
  <c r="F81" i="2" s="1"/>
  <c r="D81" i="2"/>
  <c r="E81" i="2"/>
  <c r="E83" i="2"/>
  <c r="D80" i="2" a="1"/>
  <c r="D80" i="2" s="1"/>
  <c r="B70" i="2" a="1"/>
  <c r="C73" i="2" s="1"/>
  <c r="D40" i="2" a="1"/>
  <c r="E41" i="2" s="1"/>
  <c r="D27" i="2" a="1"/>
  <c r="D27" i="2" s="1"/>
  <c r="J37" i="2"/>
  <c r="J29" i="2"/>
  <c r="J30" i="2"/>
  <c r="J31" i="2"/>
  <c r="J32" i="2"/>
  <c r="J33" i="2"/>
  <c r="J34" i="2"/>
  <c r="J35" i="2"/>
  <c r="J36" i="2"/>
  <c r="J28" i="2"/>
  <c r="R86" i="1"/>
  <c r="N87" i="1"/>
  <c r="O87" i="1"/>
  <c r="P87" i="1"/>
  <c r="M87" i="1"/>
  <c r="Q86" i="1"/>
  <c r="Q85" i="1"/>
  <c r="R85" i="1" s="1"/>
  <c r="Q84" i="1"/>
  <c r="Q87" i="1" s="1"/>
  <c r="Q83" i="1"/>
  <c r="R83" i="1" s="1"/>
  <c r="F19" i="2"/>
  <c r="E19" i="2"/>
  <c r="D19" i="2"/>
  <c r="C19" i="2"/>
  <c r="G18" i="2"/>
  <c r="H18" i="2" s="1"/>
  <c r="G17" i="2"/>
  <c r="G16" i="2"/>
  <c r="H16" i="2" s="1"/>
  <c r="G15" i="2"/>
  <c r="H15" i="2" s="1"/>
  <c r="C3" i="6" l="1"/>
  <c r="D5" i="6"/>
  <c r="D7" i="6"/>
  <c r="D41" i="6"/>
  <c r="C71" i="6"/>
  <c r="E80" i="6"/>
  <c r="R84" i="1"/>
  <c r="B2" i="6"/>
  <c r="D3" i="6"/>
  <c r="B6" i="6"/>
  <c r="C8" i="6"/>
  <c r="I27" i="6"/>
  <c r="D40" i="6"/>
  <c r="D54" i="6" s="1" a="1"/>
  <c r="E54" i="6" s="1"/>
  <c r="F41" i="6"/>
  <c r="B72" i="6"/>
  <c r="G80" i="6"/>
  <c r="D71" i="2" a="1"/>
  <c r="D73" i="2" s="1"/>
  <c r="C2" i="6"/>
  <c r="B4" i="6"/>
  <c r="C6" i="6"/>
  <c r="D8" i="6"/>
  <c r="D27" i="6"/>
  <c r="E40" i="6"/>
  <c r="G41" i="6"/>
  <c r="B76" i="6"/>
  <c r="H33" i="5"/>
  <c r="H81" i="6" s="1" a="1"/>
  <c r="D81" i="6" a="1"/>
  <c r="G86" i="6" s="1"/>
  <c r="C47" i="5"/>
  <c r="C43" i="5"/>
  <c r="C39" i="5"/>
  <c r="C46" i="5"/>
  <c r="C42" i="5"/>
  <c r="B40" i="5"/>
  <c r="B45" i="5"/>
  <c r="H19" i="6"/>
  <c r="D71" i="6" a="1"/>
  <c r="C40" i="5"/>
  <c r="C45" i="5"/>
  <c r="G19" i="6"/>
  <c r="H71" i="6" s="1" a="1"/>
  <c r="I54" i="6"/>
  <c r="H54" i="6"/>
  <c r="F54" i="6"/>
  <c r="D54" i="6"/>
  <c r="B41" i="5"/>
  <c r="B46" i="5"/>
  <c r="C41" i="5"/>
  <c r="B47" i="5"/>
  <c r="B48" i="5"/>
  <c r="C48" i="5"/>
  <c r="B42" i="5"/>
  <c r="B43" i="5"/>
  <c r="B49" i="5"/>
  <c r="B44" i="5"/>
  <c r="B39" i="5"/>
  <c r="C44" i="5"/>
  <c r="C49" i="5"/>
  <c r="C4" i="6"/>
  <c r="B7" i="6"/>
  <c r="G27" i="6"/>
  <c r="F40" i="6"/>
  <c r="H41" i="6"/>
  <c r="C72" i="6"/>
  <c r="C76" i="6"/>
  <c r="D4" i="6"/>
  <c r="C7" i="6"/>
  <c r="G40" i="6"/>
  <c r="I41" i="6"/>
  <c r="B73" i="6"/>
  <c r="C73" i="6"/>
  <c r="D2" i="6"/>
  <c r="C5" i="6"/>
  <c r="I40" i="6"/>
  <c r="B70" i="6"/>
  <c r="B74" i="6"/>
  <c r="D80" i="6"/>
  <c r="C70" i="6"/>
  <c r="C74" i="6"/>
  <c r="B71" i="6"/>
  <c r="B75" i="6"/>
  <c r="H81" i="2"/>
  <c r="H86" i="2"/>
  <c r="H85" i="2"/>
  <c r="H84" i="2"/>
  <c r="H83" i="2"/>
  <c r="D85" i="2"/>
  <c r="D83" i="2"/>
  <c r="G86" i="2"/>
  <c r="G84" i="2"/>
  <c r="G82" i="2"/>
  <c r="F86" i="2"/>
  <c r="F84" i="2"/>
  <c r="F82" i="2"/>
  <c r="E85" i="2"/>
  <c r="E86" i="2"/>
  <c r="E82" i="2"/>
  <c r="D84" i="2"/>
  <c r="G85" i="2"/>
  <c r="G83" i="2"/>
  <c r="G81" i="2"/>
  <c r="E84" i="2"/>
  <c r="D86" i="2"/>
  <c r="D82" i="2"/>
  <c r="F85" i="2"/>
  <c r="F83" i="2"/>
  <c r="G80" i="2"/>
  <c r="F80" i="2"/>
  <c r="E80" i="2"/>
  <c r="D72" i="2"/>
  <c r="D71" i="2"/>
  <c r="D75" i="2"/>
  <c r="C157" i="2" s="1"/>
  <c r="F157" i="2" s="1"/>
  <c r="D74" i="2"/>
  <c r="B73" i="2"/>
  <c r="C76" i="2"/>
  <c r="C72" i="2"/>
  <c r="B74" i="2"/>
  <c r="C75" i="2"/>
  <c r="C71" i="2"/>
  <c r="B70" i="2"/>
  <c r="B76" i="2"/>
  <c r="B72" i="2"/>
  <c r="B75" i="2"/>
  <c r="B71" i="2"/>
  <c r="C74" i="2"/>
  <c r="C70" i="2"/>
  <c r="D41" i="2"/>
  <c r="I40" i="2"/>
  <c r="G40" i="2"/>
  <c r="H40" i="2"/>
  <c r="I41" i="2"/>
  <c r="H41" i="2"/>
  <c r="F40" i="2"/>
  <c r="G41" i="2"/>
  <c r="E40" i="2"/>
  <c r="F41" i="2"/>
  <c r="D40" i="2"/>
  <c r="B46" i="4"/>
  <c r="B47" i="4"/>
  <c r="B43" i="4"/>
  <c r="B39" i="4"/>
  <c r="C42" i="4"/>
  <c r="C49" i="4"/>
  <c r="C45" i="4"/>
  <c r="B49" i="4"/>
  <c r="B45" i="4"/>
  <c r="B41" i="4"/>
  <c r="C44" i="4"/>
  <c r="C40" i="4"/>
  <c r="B48" i="4"/>
  <c r="B44" i="4"/>
  <c r="C47" i="4"/>
  <c r="C43" i="4"/>
  <c r="C22" i="4"/>
  <c r="B39" i="4" s="1" a="1"/>
  <c r="C39" i="4" s="1"/>
  <c r="B7" i="2"/>
  <c r="B4" i="2"/>
  <c r="C6" i="2"/>
  <c r="C3" i="2"/>
  <c r="B3" i="2"/>
  <c r="B8" i="2"/>
  <c r="C5" i="2"/>
  <c r="D2" i="2"/>
  <c r="D6" i="2"/>
  <c r="D3" i="2"/>
  <c r="D8" i="2"/>
  <c r="D5" i="2"/>
  <c r="D7" i="2"/>
  <c r="B5" i="2"/>
  <c r="C2" i="2"/>
  <c r="C4" i="2"/>
  <c r="B6" i="2"/>
  <c r="C8" i="2"/>
  <c r="C7" i="2"/>
  <c r="D4" i="2"/>
  <c r="I27" i="2"/>
  <c r="H27" i="2"/>
  <c r="F27" i="2"/>
  <c r="G27" i="2"/>
  <c r="E27" i="2"/>
  <c r="D54" i="2" a="1"/>
  <c r="G54" i="2" s="1"/>
  <c r="H17" i="2"/>
  <c r="H19" i="2" s="1"/>
  <c r="R87" i="1"/>
  <c r="G19" i="2"/>
  <c r="A138" i="1"/>
  <c r="A140" i="1" s="1"/>
  <c r="F138" i="1"/>
  <c r="F137" i="1"/>
  <c r="F136" i="1"/>
  <c r="F135" i="1"/>
  <c r="F140" i="1" s="1"/>
  <c r="D55" i="2" l="1" a="1"/>
  <c r="F54" i="2"/>
  <c r="B40" i="4"/>
  <c r="C48" i="4"/>
  <c r="C41" i="4"/>
  <c r="D42" i="2" s="1" a="1"/>
  <c r="C46" i="4"/>
  <c r="B42" i="4"/>
  <c r="D76" i="2"/>
  <c r="G54" i="6"/>
  <c r="B80" i="2" a="1"/>
  <c r="D90" i="6" a="1"/>
  <c r="E90" i="6" s="1"/>
  <c r="D55" i="6" a="1"/>
  <c r="F55" i="6" s="1"/>
  <c r="E83" i="6"/>
  <c r="G84" i="6"/>
  <c r="D85" i="6"/>
  <c r="F84" i="6"/>
  <c r="F82" i="6"/>
  <c r="G81" i="6"/>
  <c r="E86" i="6"/>
  <c r="E84" i="6"/>
  <c r="G83" i="6"/>
  <c r="F83" i="6"/>
  <c r="E82" i="6"/>
  <c r="E85" i="6"/>
  <c r="E81" i="6"/>
  <c r="G82" i="6"/>
  <c r="D84" i="6"/>
  <c r="D83" i="6"/>
  <c r="D82" i="6"/>
  <c r="D81" i="6"/>
  <c r="G85" i="6"/>
  <c r="F85" i="6"/>
  <c r="F86" i="6"/>
  <c r="D86" i="6"/>
  <c r="F81" i="6"/>
  <c r="H55" i="6"/>
  <c r="G55" i="6"/>
  <c r="B80" i="6" a="1"/>
  <c r="H86" i="6"/>
  <c r="H85" i="6"/>
  <c r="H84" i="6"/>
  <c r="H83" i="6"/>
  <c r="H82" i="6"/>
  <c r="H81" i="6"/>
  <c r="B41" i="6" a="1"/>
  <c r="D90" i="6"/>
  <c r="H90" i="6"/>
  <c r="G90" i="6"/>
  <c r="D127" i="6" a="1"/>
  <c r="D103" i="6" a="1"/>
  <c r="D42" i="6" a="1"/>
  <c r="H75" i="6"/>
  <c r="H74" i="6"/>
  <c r="H73" i="6"/>
  <c r="H72" i="6"/>
  <c r="H71" i="6"/>
  <c r="H77" i="6"/>
  <c r="H76" i="6"/>
  <c r="D75" i="6"/>
  <c r="C157" i="6" s="1"/>
  <c r="F157" i="6" s="1"/>
  <c r="D74" i="6"/>
  <c r="D73" i="6"/>
  <c r="D72" i="6"/>
  <c r="D71" i="6"/>
  <c r="D76" i="6"/>
  <c r="D127" i="2" a="1"/>
  <c r="D103" i="2" a="1"/>
  <c r="D54" i="2"/>
  <c r="E54" i="2"/>
  <c r="I54" i="2"/>
  <c r="H54" i="2"/>
  <c r="H71" i="2" a="1"/>
  <c r="H73" i="2" s="1"/>
  <c r="I73" i="2" s="1"/>
  <c r="D199" i="1"/>
  <c r="D202" i="1" s="1"/>
  <c r="D203" i="1" s="1"/>
  <c r="H186" i="1"/>
  <c r="H189" i="1"/>
  <c r="E188" i="1"/>
  <c r="E190" i="1" s="1"/>
  <c r="H187" i="1"/>
  <c r="F186" i="1"/>
  <c r="H185" i="1"/>
  <c r="F185" i="1"/>
  <c r="H184" i="1"/>
  <c r="F184" i="1"/>
  <c r="H179" i="1"/>
  <c r="F179" i="1"/>
  <c r="H173" i="1"/>
  <c r="H171" i="1"/>
  <c r="H170" i="1"/>
  <c r="H169" i="1"/>
  <c r="H168" i="1"/>
  <c r="H163" i="1"/>
  <c r="E172" i="1"/>
  <c r="E174" i="1" s="1"/>
  <c r="F171" i="1"/>
  <c r="F163" i="1"/>
  <c r="D42" i="2" l="1"/>
  <c r="H45" i="2"/>
  <c r="I45" i="2"/>
  <c r="E48" i="2"/>
  <c r="I42" i="2"/>
  <c r="H46" i="2"/>
  <c r="E47" i="2"/>
  <c r="I47" i="2"/>
  <c r="G42" i="2"/>
  <c r="F46" i="2"/>
  <c r="I49" i="2"/>
  <c r="E46" i="2"/>
  <c r="D50" i="2"/>
  <c r="H44" i="2"/>
  <c r="F48" i="2"/>
  <c r="G45" i="2"/>
  <c r="G50" i="2"/>
  <c r="D49" i="2"/>
  <c r="I48" i="2"/>
  <c r="F47" i="2"/>
  <c r="E44" i="2"/>
  <c r="H49" i="2"/>
  <c r="F44" i="2"/>
  <c r="G44" i="2"/>
  <c r="I46" i="2"/>
  <c r="H50" i="2"/>
  <c r="F45" i="2"/>
  <c r="E43" i="2"/>
  <c r="G46" i="2"/>
  <c r="F50" i="2"/>
  <c r="D45" i="2"/>
  <c r="E50" i="2"/>
  <c r="I44" i="2"/>
  <c r="H48" i="2"/>
  <c r="F43" i="2"/>
  <c r="D43" i="2"/>
  <c r="J43" i="2" s="1"/>
  <c r="I50" i="2"/>
  <c r="F49" i="2"/>
  <c r="D44" i="2"/>
  <c r="E45" i="2"/>
  <c r="H43" i="2"/>
  <c r="G43" i="2"/>
  <c r="D47" i="2"/>
  <c r="G48" i="2"/>
  <c r="G49" i="2"/>
  <c r="D48" i="2"/>
  <c r="H42" i="2"/>
  <c r="E49" i="2"/>
  <c r="I43" i="2"/>
  <c r="H47" i="2"/>
  <c r="F42" i="2"/>
  <c r="G47" i="2"/>
  <c r="E42" i="2"/>
  <c r="D46" i="2"/>
  <c r="D55" i="6"/>
  <c r="I55" i="6"/>
  <c r="B41" i="2" a="1"/>
  <c r="F187" i="1"/>
  <c r="F188" i="1" s="1"/>
  <c r="E55" i="6"/>
  <c r="B81" i="2"/>
  <c r="B84" i="2"/>
  <c r="C82" i="2"/>
  <c r="C81" i="2"/>
  <c r="C84" i="2"/>
  <c r="C83" i="2"/>
  <c r="B82" i="2"/>
  <c r="B83" i="2"/>
  <c r="B80" i="2"/>
  <c r="B86" i="2"/>
  <c r="B85" i="2"/>
  <c r="C80" i="2"/>
  <c r="C86" i="2"/>
  <c r="C85" i="2"/>
  <c r="F55" i="2"/>
  <c r="H55" i="2"/>
  <c r="G55" i="2"/>
  <c r="D55" i="2"/>
  <c r="E55" i="2"/>
  <c r="F90" i="6"/>
  <c r="D101" i="6" s="1" a="1"/>
  <c r="I55" i="2"/>
  <c r="I73" i="6"/>
  <c r="I76" i="6"/>
  <c r="I72" i="6"/>
  <c r="I74" i="6"/>
  <c r="H50" i="6"/>
  <c r="F49" i="6"/>
  <c r="D48" i="6"/>
  <c r="H46" i="6"/>
  <c r="F45" i="6"/>
  <c r="D44" i="6"/>
  <c r="H42" i="6"/>
  <c r="G50" i="6"/>
  <c r="E49" i="6"/>
  <c r="I47" i="6"/>
  <c r="G46" i="6"/>
  <c r="E45" i="6"/>
  <c r="I43" i="6"/>
  <c r="G42" i="6"/>
  <c r="F50" i="6"/>
  <c r="D49" i="6"/>
  <c r="H47" i="6"/>
  <c r="F46" i="6"/>
  <c r="D45" i="6"/>
  <c r="H43" i="6"/>
  <c r="F42" i="6"/>
  <c r="E50" i="6"/>
  <c r="I48" i="6"/>
  <c r="G47" i="6"/>
  <c r="E46" i="6"/>
  <c r="I44" i="6"/>
  <c r="G43" i="6"/>
  <c r="E42" i="6"/>
  <c r="I49" i="6"/>
  <c r="G48" i="6"/>
  <c r="E47" i="6"/>
  <c r="I45" i="6"/>
  <c r="G44" i="6"/>
  <c r="E43" i="6"/>
  <c r="H49" i="6"/>
  <c r="F48" i="6"/>
  <c r="D47" i="6"/>
  <c r="H45" i="6"/>
  <c r="F44" i="6"/>
  <c r="D43" i="6"/>
  <c r="E48" i="6"/>
  <c r="I42" i="6"/>
  <c r="D42" i="6"/>
  <c r="F47" i="6"/>
  <c r="I46" i="6"/>
  <c r="D46" i="6"/>
  <c r="I50" i="6"/>
  <c r="G45" i="6"/>
  <c r="D50" i="6"/>
  <c r="H44" i="6"/>
  <c r="G49" i="6"/>
  <c r="E44" i="6"/>
  <c r="H48" i="6"/>
  <c r="F43" i="6"/>
  <c r="B85" i="6"/>
  <c r="B81" i="6"/>
  <c r="C84" i="6"/>
  <c r="C80" i="6"/>
  <c r="B84" i="6"/>
  <c r="B80" i="6"/>
  <c r="C83" i="6"/>
  <c r="B83" i="6"/>
  <c r="C86" i="6"/>
  <c r="C82" i="6"/>
  <c r="B86" i="6"/>
  <c r="B82" i="6"/>
  <c r="C85" i="6"/>
  <c r="C81" i="6"/>
  <c r="C50" i="6"/>
  <c r="C46" i="6"/>
  <c r="C42" i="6"/>
  <c r="B50" i="6"/>
  <c r="B46" i="6"/>
  <c r="B42" i="6"/>
  <c r="C49" i="6"/>
  <c r="C45" i="6"/>
  <c r="C41" i="6"/>
  <c r="B49" i="6"/>
  <c r="B45" i="6"/>
  <c r="B41" i="6"/>
  <c r="B48" i="6"/>
  <c r="B44" i="6"/>
  <c r="C51" i="6"/>
  <c r="C47" i="6"/>
  <c r="C43" i="6"/>
  <c r="B51" i="6"/>
  <c r="C48" i="6"/>
  <c r="B47" i="6"/>
  <c r="C44" i="6"/>
  <c r="B43" i="6"/>
  <c r="F127" i="6"/>
  <c r="E127" i="6"/>
  <c r="D127" i="6"/>
  <c r="G127" i="6"/>
  <c r="I71" i="6"/>
  <c r="G103" i="6"/>
  <c r="F103" i="6"/>
  <c r="E103" i="6"/>
  <c r="D103" i="6"/>
  <c r="H103" i="6" s="1"/>
  <c r="I75" i="6"/>
  <c r="D119" i="6" a="1"/>
  <c r="E103" i="2"/>
  <c r="F103" i="2"/>
  <c r="G103" i="2"/>
  <c r="D103" i="2"/>
  <c r="E127" i="2"/>
  <c r="D127" i="2"/>
  <c r="G127" i="2"/>
  <c r="F127" i="2"/>
  <c r="H71" i="2"/>
  <c r="I71" i="2" s="1"/>
  <c r="H72" i="2"/>
  <c r="I72" i="2" s="1"/>
  <c r="H77" i="2"/>
  <c r="H75" i="2"/>
  <c r="I75" i="2" s="1"/>
  <c r="H74" i="2"/>
  <c r="I74" i="2" s="1"/>
  <c r="H76" i="2"/>
  <c r="I76" i="2" s="1"/>
  <c r="H188" i="1"/>
  <c r="H190" i="1" s="1"/>
  <c r="F168" i="1"/>
  <c r="H172" i="1"/>
  <c r="I187" i="1" s="1"/>
  <c r="F169" i="1"/>
  <c r="F170" i="1"/>
  <c r="H71" i="1"/>
  <c r="H72" i="1"/>
  <c r="H73" i="1"/>
  <c r="H74" i="1"/>
  <c r="H75" i="1"/>
  <c r="H70" i="1"/>
  <c r="L41" i="1"/>
  <c r="L42" i="1"/>
  <c r="L43" i="1"/>
  <c r="L44" i="1"/>
  <c r="L45" i="1"/>
  <c r="L46" i="1"/>
  <c r="L47" i="1"/>
  <c r="L48" i="1"/>
  <c r="L40" i="1"/>
  <c r="G76" i="1"/>
  <c r="J128" i="1"/>
  <c r="I128" i="1"/>
  <c r="H128" i="1"/>
  <c r="G128" i="1"/>
  <c r="F128" i="1"/>
  <c r="E128" i="1"/>
  <c r="F124" i="1"/>
  <c r="G124" i="1"/>
  <c r="H124" i="1"/>
  <c r="I124" i="1"/>
  <c r="J124" i="1"/>
  <c r="F125" i="1"/>
  <c r="G125" i="1"/>
  <c r="H125" i="1"/>
  <c r="I125" i="1"/>
  <c r="J125" i="1"/>
  <c r="F126" i="1"/>
  <c r="G126" i="1"/>
  <c r="H126" i="1"/>
  <c r="I126" i="1"/>
  <c r="J126" i="1"/>
  <c r="F127" i="1"/>
  <c r="G127" i="1"/>
  <c r="H127" i="1"/>
  <c r="I127" i="1"/>
  <c r="J127" i="1"/>
  <c r="E125" i="1"/>
  <c r="E126" i="1"/>
  <c r="E127" i="1"/>
  <c r="K127" i="1" s="1"/>
  <c r="E124" i="1"/>
  <c r="E130" i="1" s="1"/>
  <c r="F92" i="1"/>
  <c r="G92" i="1"/>
  <c r="H92" i="1"/>
  <c r="I92" i="1"/>
  <c r="J92" i="1"/>
  <c r="F93" i="1"/>
  <c r="G93" i="1"/>
  <c r="H93" i="1"/>
  <c r="I93" i="1"/>
  <c r="J93" i="1"/>
  <c r="F94" i="1"/>
  <c r="G94" i="1"/>
  <c r="H94" i="1"/>
  <c r="I94" i="1"/>
  <c r="J94" i="1"/>
  <c r="F95" i="1"/>
  <c r="G95" i="1"/>
  <c r="H95" i="1"/>
  <c r="I95" i="1"/>
  <c r="J95" i="1"/>
  <c r="F96" i="1"/>
  <c r="G96" i="1"/>
  <c r="H96" i="1"/>
  <c r="I96" i="1"/>
  <c r="J96" i="1"/>
  <c r="E93" i="1"/>
  <c r="E94" i="1"/>
  <c r="E95" i="1"/>
  <c r="E96" i="1"/>
  <c r="E92" i="1"/>
  <c r="I71" i="1"/>
  <c r="I72" i="1"/>
  <c r="I73" i="1"/>
  <c r="I74" i="1"/>
  <c r="I75" i="1"/>
  <c r="I70" i="1"/>
  <c r="G24" i="1"/>
  <c r="H24" i="1"/>
  <c r="I24" i="1"/>
  <c r="J24" i="1"/>
  <c r="K24" i="1"/>
  <c r="G25" i="1"/>
  <c r="H25" i="1"/>
  <c r="I25" i="1"/>
  <c r="J25" i="1"/>
  <c r="K25" i="1"/>
  <c r="G26" i="1"/>
  <c r="H26" i="1"/>
  <c r="I26" i="1"/>
  <c r="J26" i="1"/>
  <c r="K26" i="1"/>
  <c r="G27" i="1"/>
  <c r="H27" i="1"/>
  <c r="I27" i="1"/>
  <c r="J27" i="1"/>
  <c r="K27" i="1"/>
  <c r="G28" i="1"/>
  <c r="H28" i="1"/>
  <c r="I28" i="1"/>
  <c r="J28" i="1"/>
  <c r="K28" i="1"/>
  <c r="G29" i="1"/>
  <c r="H29" i="1"/>
  <c r="I29" i="1"/>
  <c r="J29" i="1"/>
  <c r="K29" i="1"/>
  <c r="G30" i="1"/>
  <c r="H30" i="1"/>
  <c r="I30" i="1"/>
  <c r="J30" i="1"/>
  <c r="K30" i="1"/>
  <c r="G31" i="1"/>
  <c r="H31" i="1"/>
  <c r="I31" i="1"/>
  <c r="J31" i="1"/>
  <c r="K31" i="1"/>
  <c r="G32" i="1"/>
  <c r="H32" i="1"/>
  <c r="I32" i="1"/>
  <c r="J32" i="1"/>
  <c r="K32" i="1"/>
  <c r="F25" i="1"/>
  <c r="F26" i="1"/>
  <c r="F27" i="1"/>
  <c r="F28" i="1"/>
  <c r="F29" i="1"/>
  <c r="F30" i="1"/>
  <c r="F31" i="1"/>
  <c r="F32" i="1"/>
  <c r="F24" i="1"/>
  <c r="E62" i="1"/>
  <c r="E33" i="1"/>
  <c r="E49" i="1"/>
  <c r="E34" i="1"/>
  <c r="B34" i="1"/>
  <c r="B21" i="1"/>
  <c r="D108" i="6" l="1" a="1"/>
  <c r="I186" i="1"/>
  <c r="I184" i="1"/>
  <c r="F51" i="2"/>
  <c r="H51" i="2"/>
  <c r="C146" i="2" s="1" a="1"/>
  <c r="J47" i="2"/>
  <c r="J44" i="2"/>
  <c r="J45" i="2"/>
  <c r="J46" i="2"/>
  <c r="J48" i="2"/>
  <c r="J49" i="2"/>
  <c r="H174" i="1"/>
  <c r="I185" i="1"/>
  <c r="J33" i="1"/>
  <c r="J62" i="1" s="1"/>
  <c r="I170" i="1"/>
  <c r="I179" i="1"/>
  <c r="I188" i="1" s="1"/>
  <c r="B46" i="2"/>
  <c r="C49" i="2"/>
  <c r="B49" i="2"/>
  <c r="C44" i="2"/>
  <c r="C47" i="2"/>
  <c r="B43" i="2"/>
  <c r="B41" i="2"/>
  <c r="C46" i="2"/>
  <c r="C51" i="2"/>
  <c r="C45" i="2"/>
  <c r="B45" i="2"/>
  <c r="B48" i="2"/>
  <c r="C43" i="2"/>
  <c r="C50" i="2"/>
  <c r="B50" i="2"/>
  <c r="C41" i="2"/>
  <c r="B44" i="2"/>
  <c r="B51" i="2"/>
  <c r="B42" i="2"/>
  <c r="C48" i="2"/>
  <c r="B47" i="2"/>
  <c r="C42" i="2"/>
  <c r="J42" i="2"/>
  <c r="E51" i="2"/>
  <c r="J50" i="2"/>
  <c r="G51" i="2"/>
  <c r="I51" i="2"/>
  <c r="D51" i="2"/>
  <c r="J45" i="6"/>
  <c r="J48" i="6"/>
  <c r="J44" i="6"/>
  <c r="I51" i="6"/>
  <c r="B146" i="6" a="1"/>
  <c r="B55" i="6" a="1"/>
  <c r="J43" i="6"/>
  <c r="J49" i="6"/>
  <c r="G119" i="6"/>
  <c r="F119" i="6"/>
  <c r="E119" i="6"/>
  <c r="E133" i="6" s="1"/>
  <c r="D119" i="6"/>
  <c r="D133" i="6" s="1"/>
  <c r="H51" i="6"/>
  <c r="C146" i="6" a="1"/>
  <c r="J46" i="6"/>
  <c r="G101" i="6"/>
  <c r="F101" i="6"/>
  <c r="E101" i="6"/>
  <c r="D101" i="6"/>
  <c r="J47" i="6"/>
  <c r="F51" i="6"/>
  <c r="D108" i="6"/>
  <c r="H108" i="6"/>
  <c r="G108" i="6"/>
  <c r="F108" i="6"/>
  <c r="E108" i="6"/>
  <c r="G51" i="6"/>
  <c r="B90" i="6" a="1"/>
  <c r="E51" i="6"/>
  <c r="D51" i="6"/>
  <c r="D56" i="6" s="1" a="1"/>
  <c r="J42" i="6"/>
  <c r="J50" i="6"/>
  <c r="H103" i="2"/>
  <c r="B90" i="2" a="1"/>
  <c r="D90" i="2" a="1"/>
  <c r="K124" i="1"/>
  <c r="H143" i="1" s="1"/>
  <c r="I163" i="1"/>
  <c r="I168" i="1"/>
  <c r="I171" i="1"/>
  <c r="I169" i="1"/>
  <c r="F172" i="1"/>
  <c r="J58" i="1"/>
  <c r="J54" i="1"/>
  <c r="J143" i="1"/>
  <c r="F143" i="1"/>
  <c r="J73" i="1"/>
  <c r="J61" i="1"/>
  <c r="J57" i="1"/>
  <c r="J53" i="1"/>
  <c r="J70" i="1"/>
  <c r="J72" i="1"/>
  <c r="J60" i="1"/>
  <c r="J56" i="1"/>
  <c r="J75" i="1"/>
  <c r="J71" i="1"/>
  <c r="J59" i="1"/>
  <c r="J55" i="1"/>
  <c r="J74" i="1"/>
  <c r="K146" i="1"/>
  <c r="E138" i="1"/>
  <c r="G138" i="1" s="1"/>
  <c r="K154" i="1" s="1"/>
  <c r="H146" i="1"/>
  <c r="G143" i="1"/>
  <c r="G146" i="1"/>
  <c r="E135" i="1"/>
  <c r="J146" i="1"/>
  <c r="F146" i="1"/>
  <c r="I143" i="1"/>
  <c r="I146" i="1"/>
  <c r="H33" i="1"/>
  <c r="J63" i="1"/>
  <c r="K126" i="1"/>
  <c r="E145" i="1" s="1"/>
  <c r="E143" i="1"/>
  <c r="I33" i="1"/>
  <c r="K125" i="1"/>
  <c r="I144" i="1" s="1"/>
  <c r="E146" i="1"/>
  <c r="K33" i="1"/>
  <c r="K55" i="1" s="1"/>
  <c r="G33" i="1"/>
  <c r="G57" i="1" s="1"/>
  <c r="F33" i="1"/>
  <c r="C148" i="2" l="1"/>
  <c r="C149" i="2"/>
  <c r="C152" i="2"/>
  <c r="C153" i="2"/>
  <c r="F153" i="2" s="1"/>
  <c r="C150" i="2"/>
  <c r="C151" i="2"/>
  <c r="C146" i="2"/>
  <c r="C147" i="2"/>
  <c r="C155" i="2"/>
  <c r="C154" i="2"/>
  <c r="E71" i="2" a="1"/>
  <c r="J51" i="2"/>
  <c r="D56" i="2" a="1"/>
  <c r="B146" i="2" a="1"/>
  <c r="B147" i="2" s="1"/>
  <c r="B55" i="2" a="1"/>
  <c r="C156" i="2"/>
  <c r="C156" i="6"/>
  <c r="C158" i="6" s="1"/>
  <c r="C148" i="6"/>
  <c r="C155" i="6"/>
  <c r="C147" i="6"/>
  <c r="C154" i="6"/>
  <c r="C146" i="6"/>
  <c r="C153" i="6"/>
  <c r="C152" i="6"/>
  <c r="C151" i="6"/>
  <c r="C150" i="6"/>
  <c r="C149" i="6"/>
  <c r="D64" i="6"/>
  <c r="H62" i="6"/>
  <c r="F61" i="6"/>
  <c r="D60" i="6"/>
  <c r="H58" i="6"/>
  <c r="F57" i="6"/>
  <c r="D56" i="6"/>
  <c r="I63" i="6"/>
  <c r="G62" i="6"/>
  <c r="E61" i="6"/>
  <c r="I59" i="6"/>
  <c r="G58" i="6"/>
  <c r="E57" i="6"/>
  <c r="H63" i="6"/>
  <c r="F62" i="6"/>
  <c r="D61" i="6"/>
  <c r="H59" i="6"/>
  <c r="F58" i="6"/>
  <c r="D57" i="6"/>
  <c r="I64" i="6"/>
  <c r="G63" i="6"/>
  <c r="E62" i="6"/>
  <c r="I60" i="6"/>
  <c r="G59" i="6"/>
  <c r="E58" i="6"/>
  <c r="I56" i="6"/>
  <c r="H64" i="6"/>
  <c r="D58" i="6"/>
  <c r="F63" i="6"/>
  <c r="D62" i="6"/>
  <c r="H60" i="6"/>
  <c r="F59" i="6"/>
  <c r="H56" i="6"/>
  <c r="G64" i="6"/>
  <c r="E63" i="6"/>
  <c r="I61" i="6"/>
  <c r="G60" i="6"/>
  <c r="E59" i="6"/>
  <c r="I57" i="6"/>
  <c r="G56" i="6"/>
  <c r="F64" i="6"/>
  <c r="D63" i="6"/>
  <c r="H61" i="6"/>
  <c r="F60" i="6"/>
  <c r="D59" i="6"/>
  <c r="H57" i="6"/>
  <c r="F56" i="6"/>
  <c r="E64" i="6"/>
  <c r="I62" i="6"/>
  <c r="G61" i="6"/>
  <c r="E60" i="6"/>
  <c r="I58" i="6"/>
  <c r="G57" i="6"/>
  <c r="E56" i="6"/>
  <c r="E71" i="6" a="1"/>
  <c r="J51" i="6"/>
  <c r="B62" i="6"/>
  <c r="B58" i="6"/>
  <c r="C65" i="6"/>
  <c r="C61" i="6"/>
  <c r="C57" i="6"/>
  <c r="B65" i="6"/>
  <c r="B61" i="6"/>
  <c r="B57" i="6"/>
  <c r="C64" i="6"/>
  <c r="C60" i="6"/>
  <c r="C56" i="6"/>
  <c r="C63" i="6"/>
  <c r="C59" i="6"/>
  <c r="C55" i="6"/>
  <c r="B63" i="6"/>
  <c r="B59" i="6"/>
  <c r="B55" i="6"/>
  <c r="B64" i="6"/>
  <c r="C62" i="6"/>
  <c r="B60" i="6"/>
  <c r="C58" i="6"/>
  <c r="B56" i="6"/>
  <c r="B152" i="6"/>
  <c r="B151" i="6"/>
  <c r="B150" i="6"/>
  <c r="B149" i="6"/>
  <c r="B156" i="6"/>
  <c r="B148" i="6"/>
  <c r="B155" i="6"/>
  <c r="B147" i="6"/>
  <c r="B154" i="6"/>
  <c r="B146" i="6"/>
  <c r="B153" i="6"/>
  <c r="B94" i="6"/>
  <c r="B90" i="6"/>
  <c r="C93" i="6"/>
  <c r="B93" i="6"/>
  <c r="C96" i="6"/>
  <c r="C92" i="6"/>
  <c r="B96" i="6"/>
  <c r="B92" i="6"/>
  <c r="C95" i="6"/>
  <c r="C91" i="6"/>
  <c r="B95" i="6"/>
  <c r="B91" i="6"/>
  <c r="C94" i="6"/>
  <c r="C90" i="6"/>
  <c r="E90" i="2"/>
  <c r="D90" i="2"/>
  <c r="F90" i="2"/>
  <c r="H90" i="2"/>
  <c r="G90" i="2"/>
  <c r="B90" i="2"/>
  <c r="C93" i="2"/>
  <c r="B96" i="2"/>
  <c r="B94" i="2"/>
  <c r="B92" i="2"/>
  <c r="C95" i="2"/>
  <c r="C91" i="2"/>
  <c r="B93" i="2"/>
  <c r="B95" i="2"/>
  <c r="C96" i="2"/>
  <c r="B91" i="2"/>
  <c r="C90" i="2"/>
  <c r="C92" i="2"/>
  <c r="C94" i="2"/>
  <c r="E154" i="1"/>
  <c r="I154" i="1"/>
  <c r="K143" i="1"/>
  <c r="H154" i="1"/>
  <c r="I172" i="1"/>
  <c r="F154" i="1"/>
  <c r="G154" i="1"/>
  <c r="J154" i="1"/>
  <c r="G55" i="1"/>
  <c r="G53" i="1"/>
  <c r="I63" i="1"/>
  <c r="I62" i="1"/>
  <c r="K57" i="1"/>
  <c r="E136" i="1"/>
  <c r="G136" i="1" s="1"/>
  <c r="K152" i="1" s="1"/>
  <c r="I152" i="1" s="1"/>
  <c r="K144" i="1"/>
  <c r="F63" i="1"/>
  <c r="F62" i="1"/>
  <c r="G63" i="1"/>
  <c r="G62" i="1"/>
  <c r="I57" i="1"/>
  <c r="I53" i="1"/>
  <c r="G145" i="1"/>
  <c r="K128" i="1"/>
  <c r="K130" i="1" s="1"/>
  <c r="G56" i="1"/>
  <c r="G60" i="1"/>
  <c r="I55" i="1"/>
  <c r="G61" i="1"/>
  <c r="F55" i="1"/>
  <c r="E144" i="1"/>
  <c r="F59" i="1"/>
  <c r="I145" i="1"/>
  <c r="G54" i="1"/>
  <c r="G58" i="1"/>
  <c r="F54" i="1"/>
  <c r="J145" i="1"/>
  <c r="K63" i="1"/>
  <c r="K62" i="1"/>
  <c r="H63" i="1"/>
  <c r="H62" i="1"/>
  <c r="K54" i="1"/>
  <c r="K58" i="1"/>
  <c r="F58" i="1"/>
  <c r="H58" i="1"/>
  <c r="K56" i="1"/>
  <c r="F145" i="1"/>
  <c r="I54" i="1"/>
  <c r="I58" i="1"/>
  <c r="F56" i="1"/>
  <c r="I59" i="1"/>
  <c r="F61" i="1"/>
  <c r="H145" i="1"/>
  <c r="K53" i="1"/>
  <c r="F144" i="1"/>
  <c r="I56" i="1"/>
  <c r="I60" i="1"/>
  <c r="F53" i="1"/>
  <c r="G59" i="1"/>
  <c r="G135" i="1"/>
  <c r="K151" i="1" s="1"/>
  <c r="G151" i="1" s="1"/>
  <c r="K60" i="1"/>
  <c r="H56" i="1"/>
  <c r="K61" i="1"/>
  <c r="K145" i="1"/>
  <c r="E137" i="1"/>
  <c r="G137" i="1" s="1"/>
  <c r="K153" i="1" s="1"/>
  <c r="E153" i="1" s="1"/>
  <c r="H144" i="1"/>
  <c r="H152" i="1" s="1"/>
  <c r="H55" i="1"/>
  <c r="H59" i="1"/>
  <c r="F60" i="1"/>
  <c r="H60" i="1"/>
  <c r="I61" i="1"/>
  <c r="F57" i="1"/>
  <c r="J144" i="1"/>
  <c r="H53" i="1"/>
  <c r="H57" i="1"/>
  <c r="H61" i="1"/>
  <c r="G144" i="1"/>
  <c r="H54" i="1"/>
  <c r="K59" i="1"/>
  <c r="B108" i="2" l="1" a="1"/>
  <c r="B119" i="2" a="1"/>
  <c r="G119" i="2"/>
  <c r="E119" i="2"/>
  <c r="E133" i="2" s="1"/>
  <c r="D153" i="2"/>
  <c r="C158" i="2"/>
  <c r="B146" i="2"/>
  <c r="E73" i="2"/>
  <c r="E75" i="2"/>
  <c r="E71" i="2"/>
  <c r="E72" i="2"/>
  <c r="E76" i="2"/>
  <c r="E74" i="2"/>
  <c r="F152" i="2"/>
  <c r="D152" i="2"/>
  <c r="B154" i="2"/>
  <c r="F154" i="2"/>
  <c r="D154" i="2"/>
  <c r="F151" i="2"/>
  <c r="D151" i="2"/>
  <c r="F149" i="2"/>
  <c r="D149" i="2"/>
  <c r="B152" i="2"/>
  <c r="B150" i="2"/>
  <c r="B153" i="2"/>
  <c r="B151" i="2"/>
  <c r="B155" i="2"/>
  <c r="B156" i="2"/>
  <c r="B149" i="2"/>
  <c r="B148" i="2"/>
  <c r="F147" i="2"/>
  <c r="D147" i="2"/>
  <c r="D119" i="2"/>
  <c r="D133" i="2" s="1"/>
  <c r="D119" i="2" a="1"/>
  <c r="F119" i="2" s="1"/>
  <c r="D108" i="2" a="1"/>
  <c r="H108" i="2" s="1"/>
  <c r="D101" i="2" a="1"/>
  <c r="G101" i="2" s="1"/>
  <c r="B64" i="2"/>
  <c r="C61" i="2"/>
  <c r="C64" i="2"/>
  <c r="B58" i="2"/>
  <c r="B56" i="2"/>
  <c r="C58" i="2"/>
  <c r="B63" i="2"/>
  <c r="C65" i="2"/>
  <c r="C57" i="2"/>
  <c r="C55" i="2"/>
  <c r="B57" i="2"/>
  <c r="B61" i="2"/>
  <c r="B65" i="2"/>
  <c r="B55" i="2"/>
  <c r="C60" i="2"/>
  <c r="C63" i="2"/>
  <c r="B59" i="2"/>
  <c r="B60" i="2"/>
  <c r="C56" i="2"/>
  <c r="C59" i="2"/>
  <c r="B62" i="2"/>
  <c r="C62" i="2"/>
  <c r="H56" i="2"/>
  <c r="I63" i="2"/>
  <c r="I64" i="2"/>
  <c r="F62" i="2"/>
  <c r="E63" i="2"/>
  <c r="F61" i="2"/>
  <c r="I61" i="2"/>
  <c r="G60" i="2"/>
  <c r="D61" i="2"/>
  <c r="D59" i="2"/>
  <c r="G56" i="2"/>
  <c r="E58" i="2"/>
  <c r="I58" i="2"/>
  <c r="F57" i="2"/>
  <c r="D64" i="2"/>
  <c r="F60" i="2"/>
  <c r="F58" i="2"/>
  <c r="H57" i="2"/>
  <c r="H63" i="2"/>
  <c r="I59" i="2"/>
  <c r="H64" i="2"/>
  <c r="G58" i="2"/>
  <c r="D63" i="2"/>
  <c r="E61" i="2"/>
  <c r="H61" i="2"/>
  <c r="I60" i="2"/>
  <c r="G59" i="2"/>
  <c r="E60" i="2"/>
  <c r="G57" i="2"/>
  <c r="D58" i="2"/>
  <c r="H58" i="2"/>
  <c r="D57" i="2"/>
  <c r="E57" i="2"/>
  <c r="G64" i="2"/>
  <c r="G63" i="2"/>
  <c r="E64" i="2"/>
  <c r="E62" i="2"/>
  <c r="I62" i="2"/>
  <c r="H60" i="2"/>
  <c r="F59" i="2"/>
  <c r="D60" i="2"/>
  <c r="G61" i="2"/>
  <c r="I57" i="2"/>
  <c r="I56" i="2"/>
  <c r="D56" i="2"/>
  <c r="G62" i="2"/>
  <c r="E56" i="2"/>
  <c r="E65" i="2" s="1"/>
  <c r="F64" i="2"/>
  <c r="F63" i="2"/>
  <c r="D62" i="2"/>
  <c r="H62" i="2"/>
  <c r="E59" i="2"/>
  <c r="H59" i="2"/>
  <c r="F56" i="2"/>
  <c r="F65" i="2" s="1"/>
  <c r="F155" i="2"/>
  <c r="D155" i="2"/>
  <c r="F150" i="2"/>
  <c r="D150" i="2"/>
  <c r="F148" i="2"/>
  <c r="D148" i="2"/>
  <c r="G65" i="6"/>
  <c r="E76" i="6"/>
  <c r="E75" i="6"/>
  <c r="E74" i="6"/>
  <c r="E73" i="6"/>
  <c r="E72" i="6"/>
  <c r="E71" i="6"/>
  <c r="F148" i="6"/>
  <c r="D148" i="6"/>
  <c r="D152" i="6"/>
  <c r="F152" i="6"/>
  <c r="F153" i="6"/>
  <c r="D153" i="6"/>
  <c r="B108" i="6" a="1"/>
  <c r="B119" i="6" a="1"/>
  <c r="I65" i="6"/>
  <c r="F154" i="6"/>
  <c r="D154" i="6"/>
  <c r="H65" i="6"/>
  <c r="F147" i="6"/>
  <c r="D147" i="6"/>
  <c r="F149" i="6"/>
  <c r="D149" i="6"/>
  <c r="F155" i="6"/>
  <c r="D155" i="6"/>
  <c r="F65" i="6"/>
  <c r="D65" i="6"/>
  <c r="F150" i="6"/>
  <c r="D150" i="6"/>
  <c r="E65" i="6"/>
  <c r="F151" i="6"/>
  <c r="D151" i="6"/>
  <c r="C114" i="2"/>
  <c r="C125" i="2"/>
  <c r="C111" i="2"/>
  <c r="C122" i="2"/>
  <c r="B113" i="2"/>
  <c r="B124" i="2"/>
  <c r="B108" i="2"/>
  <c r="B119" i="2"/>
  <c r="B111" i="2"/>
  <c r="B122" i="2"/>
  <c r="C110" i="2"/>
  <c r="C121" i="2"/>
  <c r="B110" i="2"/>
  <c r="B121" i="2"/>
  <c r="C112" i="2"/>
  <c r="C123" i="2"/>
  <c r="C113" i="2"/>
  <c r="C124" i="2"/>
  <c r="C108" i="2"/>
  <c r="C119" i="2"/>
  <c r="B112" i="2"/>
  <c r="B123" i="2"/>
  <c r="B114" i="2"/>
  <c r="B125" i="2"/>
  <c r="C109" i="2"/>
  <c r="C120" i="2"/>
  <c r="B109" i="2"/>
  <c r="B120" i="2"/>
  <c r="G108" i="2"/>
  <c r="F108" i="2"/>
  <c r="F101" i="2"/>
  <c r="D108" i="2"/>
  <c r="E108" i="2"/>
  <c r="E101" i="2"/>
  <c r="G152" i="1"/>
  <c r="J152" i="1"/>
  <c r="F152" i="1"/>
  <c r="F153" i="1"/>
  <c r="E152" i="1"/>
  <c r="I151" i="1"/>
  <c r="H153" i="1"/>
  <c r="J153" i="1"/>
  <c r="I153" i="1"/>
  <c r="J151" i="1"/>
  <c r="F151" i="1"/>
  <c r="G153" i="1"/>
  <c r="H151" i="1"/>
  <c r="E151" i="1"/>
  <c r="E139" i="1"/>
  <c r="H138" i="1" s="1"/>
  <c r="G74" i="2" l="1"/>
  <c r="G75" i="2"/>
  <c r="D101" i="2"/>
  <c r="D65" i="2"/>
  <c r="H65" i="2"/>
  <c r="F156" i="2"/>
  <c r="G149" i="2" s="1"/>
  <c r="G151" i="2"/>
  <c r="G76" i="2"/>
  <c r="G73" i="2"/>
  <c r="C126" i="2"/>
  <c r="B126" i="2"/>
  <c r="G148" i="2"/>
  <c r="G65" i="2"/>
  <c r="G154" i="2"/>
  <c r="G71" i="2"/>
  <c r="E77" i="2"/>
  <c r="F77" i="2" s="1"/>
  <c r="I65" i="2"/>
  <c r="G72" i="2"/>
  <c r="C115" i="2"/>
  <c r="B115" i="2"/>
  <c r="F156" i="6"/>
  <c r="G154" i="6" s="1"/>
  <c r="G74" i="6"/>
  <c r="C112" i="6"/>
  <c r="C108" i="6"/>
  <c r="B112" i="6"/>
  <c r="B108" i="6"/>
  <c r="C115" i="6"/>
  <c r="C111" i="6"/>
  <c r="B115" i="6"/>
  <c r="B111" i="6"/>
  <c r="C114" i="6"/>
  <c r="C110" i="6"/>
  <c r="B114" i="6"/>
  <c r="B110" i="6"/>
  <c r="C113" i="6"/>
  <c r="C109" i="6"/>
  <c r="B113" i="6"/>
  <c r="B109" i="6"/>
  <c r="G72" i="6"/>
  <c r="C125" i="6"/>
  <c r="C121" i="6"/>
  <c r="B125" i="6"/>
  <c r="B121" i="6"/>
  <c r="C124" i="6"/>
  <c r="C120" i="6"/>
  <c r="B124" i="6"/>
  <c r="B120" i="6"/>
  <c r="C123" i="6"/>
  <c r="C119" i="6"/>
  <c r="B123" i="6"/>
  <c r="B119" i="6"/>
  <c r="C126" i="6"/>
  <c r="C122" i="6"/>
  <c r="B126" i="6"/>
  <c r="B122" i="6"/>
  <c r="E77" i="6"/>
  <c r="F77" i="6" s="1"/>
  <c r="G71" i="6"/>
  <c r="G73" i="6"/>
  <c r="G75" i="6"/>
  <c r="G76" i="6"/>
  <c r="F72" i="2" l="1"/>
  <c r="F73" i="2"/>
  <c r="I82" i="2"/>
  <c r="B133" i="2" a="1"/>
  <c r="G147" i="2"/>
  <c r="G150" i="2"/>
  <c r="F75" i="2"/>
  <c r="F74" i="2"/>
  <c r="I81" i="2"/>
  <c r="I81" i="2" a="1"/>
  <c r="I83" i="2" s="1"/>
  <c r="F71" i="2"/>
  <c r="B140" i="2"/>
  <c r="F76" i="2"/>
  <c r="G152" i="2"/>
  <c r="G156" i="2"/>
  <c r="F158" i="2"/>
  <c r="G153" i="2"/>
  <c r="G155" i="2"/>
  <c r="G152" i="6"/>
  <c r="F76" i="6"/>
  <c r="F158" i="6"/>
  <c r="G156" i="6"/>
  <c r="F73" i="6"/>
  <c r="G155" i="6"/>
  <c r="B133" i="6" a="1"/>
  <c r="F74" i="6"/>
  <c r="F75" i="6"/>
  <c r="F71" i="6"/>
  <c r="G149" i="6"/>
  <c r="I81" i="6" a="1"/>
  <c r="G147" i="6"/>
  <c r="G153" i="6"/>
  <c r="F72" i="6"/>
  <c r="G150" i="6"/>
  <c r="G148" i="6"/>
  <c r="G151" i="6"/>
  <c r="I85" i="2" l="1"/>
  <c r="I84" i="2"/>
  <c r="D91" i="2" s="1" a="1"/>
  <c r="I86" i="2"/>
  <c r="C141" i="2"/>
  <c r="B141" i="2"/>
  <c r="C138" i="2"/>
  <c r="C139" i="2"/>
  <c r="B133" i="2"/>
  <c r="C135" i="2"/>
  <c r="B135" i="2"/>
  <c r="C133" i="2"/>
  <c r="C134" i="2"/>
  <c r="B136" i="2"/>
  <c r="C137" i="2"/>
  <c r="C136" i="2"/>
  <c r="B134" i="2"/>
  <c r="B137" i="2"/>
  <c r="B138" i="2"/>
  <c r="B139" i="2"/>
  <c r="C140" i="2"/>
  <c r="C139" i="6"/>
  <c r="C135" i="6"/>
  <c r="B139" i="6"/>
  <c r="B135" i="6"/>
  <c r="C138" i="6"/>
  <c r="C134" i="6"/>
  <c r="B138" i="6"/>
  <c r="B134" i="6"/>
  <c r="C141" i="6"/>
  <c r="C137" i="6"/>
  <c r="C133" i="6"/>
  <c r="B141" i="6"/>
  <c r="B137" i="6"/>
  <c r="B133" i="6"/>
  <c r="C140" i="6"/>
  <c r="C136" i="6"/>
  <c r="B140" i="6"/>
  <c r="B136" i="6"/>
  <c r="I86" i="6"/>
  <c r="I85" i="6"/>
  <c r="I84" i="6"/>
  <c r="I83" i="6"/>
  <c r="I82" i="6"/>
  <c r="I81" i="6"/>
  <c r="D91" i="6" s="1" a="1"/>
  <c r="F91" i="2" l="1"/>
  <c r="D96" i="2"/>
  <c r="D94" i="2"/>
  <c r="F94" i="2"/>
  <c r="F95" i="2"/>
  <c r="H93" i="2"/>
  <c r="D93" i="2"/>
  <c r="G94" i="2"/>
  <c r="G91" i="2"/>
  <c r="G95" i="2"/>
  <c r="G96" i="2"/>
  <c r="F92" i="2"/>
  <c r="E91" i="2"/>
  <c r="H94" i="2"/>
  <c r="E94" i="2"/>
  <c r="H92" i="2"/>
  <c r="D91" i="2"/>
  <c r="D92" i="2"/>
  <c r="G93" i="2"/>
  <c r="H91" i="2"/>
  <c r="H97" i="2" s="1"/>
  <c r="F93" i="2"/>
  <c r="E96" i="2"/>
  <c r="E92" i="2"/>
  <c r="H96" i="2"/>
  <c r="E95" i="2"/>
  <c r="F96" i="2"/>
  <c r="D95" i="2"/>
  <c r="H95" i="2"/>
  <c r="G92" i="2"/>
  <c r="E93" i="2"/>
  <c r="F96" i="6"/>
  <c r="H94" i="6"/>
  <c r="E93" i="6"/>
  <c r="G91" i="6"/>
  <c r="E96" i="6"/>
  <c r="G94" i="6"/>
  <c r="D93" i="6"/>
  <c r="F91" i="6"/>
  <c r="D96" i="6"/>
  <c r="F94" i="6"/>
  <c r="H92" i="6"/>
  <c r="E91" i="6"/>
  <c r="H95" i="6"/>
  <c r="E94" i="6"/>
  <c r="G92" i="6"/>
  <c r="D91" i="6"/>
  <c r="G95" i="6"/>
  <c r="D94" i="6"/>
  <c r="F92" i="6"/>
  <c r="F95" i="6"/>
  <c r="H93" i="6"/>
  <c r="E92" i="6"/>
  <c r="H96" i="6"/>
  <c r="E95" i="6"/>
  <c r="G93" i="6"/>
  <c r="D92" i="6"/>
  <c r="G96" i="6"/>
  <c r="D95" i="6"/>
  <c r="F93" i="6"/>
  <c r="H91" i="6"/>
  <c r="D97" i="2" l="1"/>
  <c r="E97" i="2"/>
  <c r="G97" i="2"/>
  <c r="F97" i="2"/>
  <c r="F97" i="6"/>
  <c r="D109" i="6" a="1"/>
  <c r="D97" i="6"/>
  <c r="H97" i="6"/>
  <c r="E97" i="6"/>
  <c r="G97" i="6"/>
  <c r="D102" i="2" l="1" a="1"/>
  <c r="D109" i="2" a="1"/>
  <c r="D114" i="2" s="1"/>
  <c r="D102" i="6" a="1"/>
  <c r="D102" i="6" s="1"/>
  <c r="D120" i="2" a="1"/>
  <c r="F102" i="6"/>
  <c r="F104" i="6" s="1"/>
  <c r="E102" i="6"/>
  <c r="E104" i="6" s="1"/>
  <c r="G102" i="6"/>
  <c r="G104" i="6" s="1"/>
  <c r="F115" i="6"/>
  <c r="F113" i="6"/>
  <c r="F111" i="6"/>
  <c r="F109" i="6"/>
  <c r="E115" i="6"/>
  <c r="E113" i="6"/>
  <c r="E111" i="6"/>
  <c r="E109" i="6"/>
  <c r="D115" i="6"/>
  <c r="D113" i="6"/>
  <c r="D111" i="6"/>
  <c r="D109" i="6"/>
  <c r="G114" i="6"/>
  <c r="G112" i="6"/>
  <c r="G110" i="6"/>
  <c r="F114" i="6"/>
  <c r="F112" i="6"/>
  <c r="F110" i="6"/>
  <c r="E114" i="6"/>
  <c r="E112" i="6"/>
  <c r="E110" i="6"/>
  <c r="D114" i="6"/>
  <c r="D112" i="6"/>
  <c r="D110" i="6"/>
  <c r="G115" i="6"/>
  <c r="G113" i="6"/>
  <c r="G111" i="6"/>
  <c r="G109" i="6"/>
  <c r="D120" i="6" a="1"/>
  <c r="F126" i="2" l="1"/>
  <c r="D126" i="2"/>
  <c r="F123" i="2"/>
  <c r="D137" i="2" s="1"/>
  <c r="G125" i="2"/>
  <c r="E139" i="2" s="1"/>
  <c r="F125" i="2"/>
  <c r="D139" i="2" s="1"/>
  <c r="D125" i="2"/>
  <c r="G121" i="2"/>
  <c r="F120" i="2"/>
  <c r="D120" i="2"/>
  <c r="D134" i="2" s="1"/>
  <c r="F124" i="2"/>
  <c r="D138" i="2" s="1"/>
  <c r="D124" i="2"/>
  <c r="D122" i="2"/>
  <c r="E125" i="2"/>
  <c r="F121" i="2"/>
  <c r="E124" i="2"/>
  <c r="G120" i="2"/>
  <c r="E121" i="2"/>
  <c r="E135" i="2" s="1"/>
  <c r="D123" i="2"/>
  <c r="D121" i="2"/>
  <c r="D135" i="2" s="1"/>
  <c r="G123" i="2"/>
  <c r="E137" i="2" s="1"/>
  <c r="F122" i="2"/>
  <c r="D136" i="2" s="1"/>
  <c r="E123" i="2"/>
  <c r="E122" i="2"/>
  <c r="G124" i="2"/>
  <c r="E138" i="2" s="1"/>
  <c r="G122" i="2"/>
  <c r="E136" i="2" s="1"/>
  <c r="E120" i="2"/>
  <c r="E134" i="2" s="1"/>
  <c r="E102" i="2"/>
  <c r="E104" i="2" s="1"/>
  <c r="F102" i="2"/>
  <c r="F104" i="2" s="1"/>
  <c r="G102" i="2"/>
  <c r="G104" i="2" s="1"/>
  <c r="D102" i="2"/>
  <c r="E126" i="2"/>
  <c r="G109" i="2"/>
  <c r="F109" i="2"/>
  <c r="D109" i="2"/>
  <c r="F114" i="2"/>
  <c r="E110" i="2"/>
  <c r="E115" i="2"/>
  <c r="F115" i="2"/>
  <c r="F110" i="2"/>
  <c r="G113" i="2"/>
  <c r="E111" i="2"/>
  <c r="F113" i="2"/>
  <c r="D113" i="2"/>
  <c r="E112" i="2"/>
  <c r="F111" i="2"/>
  <c r="E113" i="2"/>
  <c r="G110" i="2"/>
  <c r="E109" i="2"/>
  <c r="G111" i="2"/>
  <c r="E114" i="2"/>
  <c r="D112" i="2"/>
  <c r="D111" i="2"/>
  <c r="G112" i="2"/>
  <c r="G115" i="2"/>
  <c r="D110" i="2"/>
  <c r="F112" i="2"/>
  <c r="D115" i="2"/>
  <c r="G114" i="2"/>
  <c r="G126" i="2"/>
  <c r="H102" i="6"/>
  <c r="H104" i="6" s="1"/>
  <c r="D104" i="6"/>
  <c r="G125" i="6"/>
  <c r="E139" i="6" s="1"/>
  <c r="G123" i="6"/>
  <c r="E137" i="6" s="1"/>
  <c r="G121" i="6"/>
  <c r="F125" i="6"/>
  <c r="D139" i="6" s="1"/>
  <c r="F123" i="6"/>
  <c r="D137" i="6" s="1"/>
  <c r="F121" i="6"/>
  <c r="E125" i="6"/>
  <c r="E123" i="6"/>
  <c r="E121" i="6"/>
  <c r="E135" i="6" s="1"/>
  <c r="D125" i="6"/>
  <c r="D123" i="6"/>
  <c r="D121" i="6"/>
  <c r="D135" i="6" s="1"/>
  <c r="G126" i="6"/>
  <c r="G124" i="6"/>
  <c r="E138" i="6" s="1"/>
  <c r="G122" i="6"/>
  <c r="E136" i="6" s="1"/>
  <c r="G120" i="6"/>
  <c r="F126" i="6"/>
  <c r="F124" i="6"/>
  <c r="D138" i="6" s="1"/>
  <c r="F122" i="6"/>
  <c r="D136" i="6" s="1"/>
  <c r="F120" i="6"/>
  <c r="E126" i="6"/>
  <c r="E124" i="6"/>
  <c r="E122" i="6"/>
  <c r="E120" i="6"/>
  <c r="E134" i="6" s="1"/>
  <c r="D126" i="6"/>
  <c r="D124" i="6"/>
  <c r="D122" i="6"/>
  <c r="D120" i="6"/>
  <c r="D134" i="6" s="1"/>
  <c r="D104" i="2" l="1"/>
  <c r="H102" i="2"/>
  <c r="H104" i="2" s="1"/>
  <c r="G134" i="2"/>
  <c r="E140" i="2"/>
  <c r="G136" i="2"/>
  <c r="F136" i="2"/>
  <c r="F134" i="2"/>
  <c r="D140" i="2"/>
  <c r="F136" i="6"/>
  <c r="D140" i="6"/>
  <c r="F134" i="6"/>
  <c r="E140" i="6"/>
  <c r="G134" i="6"/>
  <c r="G136" i="6"/>
</calcChain>
</file>

<file path=xl/sharedStrings.xml><?xml version="1.0" encoding="utf-8"?>
<sst xmlns="http://schemas.openxmlformats.org/spreadsheetml/2006/main" count="544" uniqueCount="148">
  <si>
    <t>Funciones</t>
  </si>
  <si>
    <r>
      <t>Ocupación edificio</t>
    </r>
    <r>
      <rPr>
        <sz val="8"/>
        <color rgb="FFFFFFFF"/>
        <rFont val="Arial"/>
        <family val="2"/>
      </rPr>
      <t> </t>
    </r>
  </si>
  <si>
    <t>Conservación</t>
  </si>
  <si>
    <t>150 m2</t>
  </si>
  <si>
    <t>Limpieza</t>
  </si>
  <si>
    <t>100 m2</t>
  </si>
  <si>
    <t>Aprovisionamiento</t>
  </si>
  <si>
    <t>120 m2</t>
  </si>
  <si>
    <t>Cortado</t>
  </si>
  <si>
    <t>300 m2</t>
  </si>
  <si>
    <t>Envasado</t>
  </si>
  <si>
    <t>450 m2</t>
  </si>
  <si>
    <t>Distribución</t>
  </si>
  <si>
    <t>160 m2</t>
  </si>
  <si>
    <t>Administración</t>
  </si>
  <si>
    <t>60 m2</t>
  </si>
  <si>
    <t>Total</t>
  </si>
  <si>
    <t>1340 m2</t>
  </si>
  <si>
    <t>Ocupación edificio</t>
  </si>
  <si>
    <t xml:space="preserve">NOMBRE DEL FACTOR PRODUCTIVO </t>
  </si>
  <si>
    <t>Coste total (€)</t>
  </si>
  <si>
    <t>Hilo Metálico</t>
  </si>
  <si>
    <t xml:space="preserve">Plástico transparente </t>
  </si>
  <si>
    <t>Colorante Plástico</t>
  </si>
  <si>
    <t>Liquido Galvanizador</t>
  </si>
  <si>
    <t>Aditivos</t>
  </si>
  <si>
    <t>Electricidad</t>
  </si>
  <si>
    <t>Operarios (Sueldo+ Cargas sociales)</t>
  </si>
  <si>
    <t>Amortización maquinaria</t>
  </si>
  <si>
    <t>Envases de cartón</t>
  </si>
  <si>
    <t xml:space="preserve">FACTOR PRODUCTIVO </t>
  </si>
  <si>
    <t>Coste total</t>
  </si>
  <si>
    <t>Mezclar</t>
  </si>
  <si>
    <t>Galvanizar</t>
  </si>
  <si>
    <t>Tintar</t>
  </si>
  <si>
    <t>Plastificar</t>
  </si>
  <si>
    <t>Manipular</t>
  </si>
  <si>
    <t>Envasar</t>
  </si>
  <si>
    <t>Plástico Transparente</t>
  </si>
  <si>
    <t>Colorantes plástico</t>
  </si>
  <si>
    <t>Líquido Galvanizado</t>
  </si>
  <si>
    <t>Operario (Sueldo+Cargas sociales)</t>
  </si>
  <si>
    <t>total Factores</t>
  </si>
  <si>
    <t xml:space="preserve">NOMBRE DE LA ACTIVIDAD </t>
  </si>
  <si>
    <t>Coste total €</t>
  </si>
  <si>
    <t>MEZCLAR</t>
  </si>
  <si>
    <t>GALVANIZAR</t>
  </si>
  <si>
    <t>TINTAR</t>
  </si>
  <si>
    <t>PLASTIFICAR</t>
  </si>
  <si>
    <t>MANIPULAR</t>
  </si>
  <si>
    <t>ENVASAR</t>
  </si>
  <si>
    <t xml:space="preserve"> HILO METALICO </t>
  </si>
  <si>
    <t xml:space="preserve"> PLASTICO TRANSPARENTE </t>
  </si>
  <si>
    <t xml:space="preserve"> COLORANTE PLASTICO AZUL/ROJO/AMARILLO </t>
  </si>
  <si>
    <t xml:space="preserve"> LIQUIDO GALVANIZADO </t>
  </si>
  <si>
    <t xml:space="preserve"> ADITIVO ANARANJADO/COBRE </t>
  </si>
  <si>
    <t xml:space="preserve"> ELECTRICIDAD </t>
  </si>
  <si>
    <t xml:space="preserve"> OPERARIO (Sueldo+Cargas sociales)</t>
  </si>
  <si>
    <t>UNIDAD DE MEDIDA DE LA ACTIVIDAD</t>
  </si>
  <si>
    <t xml:space="preserve">Actividad realizada </t>
  </si>
  <si>
    <t>Coste Total Actividad (€)</t>
  </si>
  <si>
    <t>Coste Unitario Actividad (€)</t>
  </si>
  <si>
    <t>Litro de liquido galvanizador</t>
  </si>
  <si>
    <t>Metro de hilo</t>
  </si>
  <si>
    <t>Kg  de plástico</t>
  </si>
  <si>
    <t>caja</t>
  </si>
  <si>
    <t>Actividad total realizada</t>
  </si>
  <si>
    <t xml:space="preserve"> MEZCLAR </t>
  </si>
  <si>
    <t xml:space="preserve"> GALVANIZAR </t>
  </si>
  <si>
    <t xml:space="preserve"> TINTAR </t>
  </si>
  <si>
    <t xml:space="preserve"> PLASTIFICAR </t>
  </si>
  <si>
    <t xml:space="preserve"> MANIPULAR </t>
  </si>
  <si>
    <t xml:space="preserve"> ENVASAR </t>
  </si>
  <si>
    <t>Tipo de Clips</t>
  </si>
  <si>
    <t xml:space="preserve"> Litros de liquido galvanizador </t>
  </si>
  <si>
    <t xml:space="preserve"> Metros de hilo </t>
  </si>
  <si>
    <t xml:space="preserve"> Kgs de plástico </t>
  </si>
  <si>
    <t xml:space="preserve"> Cajas </t>
  </si>
  <si>
    <t xml:space="preserve">Clip Galvanizado Dorado </t>
  </si>
  <si>
    <t xml:space="preserve">Clip Galvanizado Anaranjado </t>
  </si>
  <si>
    <t xml:space="preserve">Clip Plastificado Transparente </t>
  </si>
  <si>
    <t xml:space="preserve">Clip Plastificado Azul </t>
  </si>
  <si>
    <t xml:space="preserve">Total Actividad </t>
  </si>
  <si>
    <r>
      <t>Tipo de Clips</t>
    </r>
    <r>
      <rPr>
        <sz val="8"/>
        <color rgb="FFFFFFFF"/>
        <rFont val="Calibri"/>
        <family val="2"/>
        <scheme val="minor"/>
      </rPr>
      <t xml:space="preserve"> 0</t>
    </r>
  </si>
  <si>
    <t>Coste por Unidad de Actividad</t>
  </si>
  <si>
    <t>Coste Producción</t>
  </si>
  <si>
    <t>Nº Uds</t>
  </si>
  <si>
    <t>(Caja 100 clips)</t>
  </si>
  <si>
    <t>Coste producción</t>
  </si>
  <si>
    <t>unitario</t>
  </si>
  <si>
    <t xml:space="preserve">Total Coste Actividad </t>
  </si>
  <si>
    <t>%</t>
  </si>
  <si>
    <t>Situación actual</t>
  </si>
  <si>
    <t>Simulación</t>
  </si>
  <si>
    <t>Variación</t>
  </si>
  <si>
    <t>Nivel actividad</t>
  </si>
  <si>
    <t>Coste Cost driver Unitario</t>
  </si>
  <si>
    <t xml:space="preserve">8.640+ 17.594,93 + 64350(1+x)=  0.4913717 </t>
  </si>
  <si>
    <t>X = 154.934,44/</t>
  </si>
  <si>
    <t>8.640+ 17.594,93 + 64350=  225,252,44 - 64,350x</t>
  </si>
  <si>
    <t xml:space="preserve">                               Cost Driver
Tipo de Clips</t>
  </si>
  <si>
    <t>Tabla 4 Consumo de los recursos por las actividades</t>
  </si>
  <si>
    <t>Cost driver</t>
  </si>
  <si>
    <t>% de coste</t>
  </si>
  <si>
    <t>Actividad</t>
  </si>
  <si>
    <t xml:space="preserve">Litros de líquido galvanizador </t>
  </si>
  <si>
    <t>Tabla sol. 1 Coste Recursos empleados por las actividadades</t>
  </si>
  <si>
    <t>Tabla 3 Actividad total realizada por producto fabricado</t>
  </si>
  <si>
    <t xml:space="preserve">Tabla sol. 2 Composición del coste de las actividades </t>
  </si>
  <si>
    <t>Tabla sol. 3 Recursos empleados</t>
  </si>
  <si>
    <t>Tabla sol. 4 Actividad realizada por producto</t>
  </si>
  <si>
    <t>Coste Ud Cost driver</t>
  </si>
  <si>
    <t>Total coste producción</t>
  </si>
  <si>
    <t>Tabla sol. 5 Coste de las actividades consumidas por cada producto</t>
  </si>
  <si>
    <t>Nº cajas 100 clips</t>
  </si>
  <si>
    <t>Coste Producción (€)</t>
  </si>
  <si>
    <t>Coste Unitario Producción (€/ Caja 100</t>
  </si>
  <si>
    <t>Tabla 1 Productos fabricados 2014</t>
  </si>
  <si>
    <t>NOMBRE DEL PRODUCTO</t>
  </si>
  <si>
    <t>UNIDAD DE MEDIDA</t>
  </si>
  <si>
    <t>CANTIDAD  DE UNIDADES DE MEDIDA</t>
  </si>
  <si>
    <t xml:space="preserve"> Caja 100 uds </t>
  </si>
  <si>
    <t>Suma</t>
  </si>
  <si>
    <t xml:space="preserve">Hilo Metálico </t>
  </si>
  <si>
    <t xml:space="preserve">Plástico Transparente </t>
  </si>
  <si>
    <t xml:space="preserve">Colorante Plástico Azul/Transparente </t>
  </si>
  <si>
    <t xml:space="preserve">Liquido Galvanizado </t>
  </si>
  <si>
    <t xml:space="preserve">Aditivo Anaranjado/Cobre </t>
  </si>
  <si>
    <t xml:space="preserve">Electricidad </t>
  </si>
  <si>
    <t>OPERARIO (Sueldo+Cargas Sociales)</t>
  </si>
  <si>
    <t>Tabla sol. 7 Composición del coste de producción de los clips</t>
  </si>
  <si>
    <t>Tabla sol. 6 Coste Unitario de Producción</t>
  </si>
  <si>
    <t>Unidades Producidas</t>
  </si>
  <si>
    <t>Tabla sol. 9 Coste de producción de un clip galvanizado y plastificado transparente</t>
  </si>
  <si>
    <t>Tabla sol. 10 Coste de resultante de simular una sustitución de maquinaria en Manipular</t>
  </si>
  <si>
    <t>Tabla 2 Factores productivos consumidos 2014</t>
  </si>
  <si>
    <t>Cajas de cartón</t>
  </si>
  <si>
    <t xml:space="preserve"> Mezclar </t>
  </si>
  <si>
    <t xml:space="preserve"> Galvanizar </t>
  </si>
  <si>
    <t xml:space="preserve"> Tintar </t>
  </si>
  <si>
    <t xml:space="preserve"> Plastificar </t>
  </si>
  <si>
    <t xml:space="preserve"> Manipular </t>
  </si>
  <si>
    <t xml:space="preserve"> Envasar </t>
  </si>
  <si>
    <t>Tipo de Clips/</t>
  </si>
  <si>
    <t>Litros de líquido galvanizador</t>
  </si>
  <si>
    <t>Metros de hilo</t>
  </si>
  <si>
    <t>Kgs de plástico</t>
  </si>
  <si>
    <t>Cajas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</si>
</sst>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#,##0.00_ ;[Red]\-#,##0.00\ "/>
    <numFmt numFmtId="165" formatCode="0.000%"/>
    <numFmt numFmtId="166" formatCode="#,##0.000_ ;[Red]\-#,##0.000\ "/>
    <numFmt numFmtId="167" formatCode="#,##0.0000000"/>
    <numFmt numFmtId="168" formatCode="#,##0.000"/>
    <numFmt numFmtId="169" formatCode="#,##0_ ;[Red]\-#,##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rgb="FFFFFFFF"/>
      <name val="Arial"/>
      <family val="2"/>
    </font>
    <font>
      <sz val="8"/>
      <color theme="1"/>
      <name val="Arial"/>
      <family val="2"/>
    </font>
    <font>
      <b/>
      <sz val="10"/>
      <color rgb="FF000000"/>
      <name val="Arial"/>
      <family val="2"/>
    </font>
    <font>
      <b/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color rgb="FFFFFFFF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8"/>
      <color rgb="FF000000"/>
      <name val="Arial"/>
      <family val="2"/>
    </font>
    <font>
      <sz val="8"/>
      <color rgb="FF00000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9"/>
      <color rgb="FF000000"/>
      <name val="Calibri"/>
      <family val="2"/>
      <scheme val="minor"/>
    </font>
    <font>
      <sz val="8"/>
      <color rgb="FFFF000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33CCCC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C0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27">
    <xf numFmtId="0" fontId="0" fillId="0" borderId="0" xfId="0"/>
    <xf numFmtId="0" fontId="3" fillId="2" borderId="1" xfId="0" applyFont="1" applyFill="1" applyBorder="1" applyAlignment="1">
      <alignment horizontal="justify" vertical="center"/>
    </xf>
    <xf numFmtId="0" fontId="3" fillId="2" borderId="2" xfId="0" applyFont="1" applyFill="1" applyBorder="1" applyAlignment="1">
      <alignment horizontal="justify" vertical="center"/>
    </xf>
    <xf numFmtId="0" fontId="5" fillId="0" borderId="3" xfId="0" applyFont="1" applyBorder="1" applyAlignment="1">
      <alignment horizontal="justify" vertical="center"/>
    </xf>
    <xf numFmtId="0" fontId="5" fillId="0" borderId="4" xfId="0" applyFont="1" applyBorder="1" applyAlignment="1">
      <alignment horizontal="center" vertical="center"/>
    </xf>
    <xf numFmtId="0" fontId="0" fillId="3" borderId="1" xfId="0" applyFill="1" applyBorder="1" applyAlignment="1">
      <alignment vertical="center" wrapText="1"/>
    </xf>
    <xf numFmtId="0" fontId="0" fillId="3" borderId="2" xfId="0" applyFill="1" applyBorder="1" applyAlignment="1">
      <alignment vertical="center" wrapText="1"/>
    </xf>
    <xf numFmtId="0" fontId="0" fillId="0" borderId="5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0" fillId="0" borderId="4" xfId="0" applyBorder="1" applyAlignment="1">
      <alignment horizontal="right" vertical="center" wrapText="1"/>
    </xf>
    <xf numFmtId="0" fontId="0" fillId="0" borderId="4" xfId="0" applyBorder="1" applyAlignment="1">
      <alignment vertical="center" wrapText="1"/>
    </xf>
    <xf numFmtId="0" fontId="0" fillId="0" borderId="5" xfId="0" applyBorder="1" applyAlignment="1">
      <alignment horizontal="right" vertical="center" wrapText="1"/>
    </xf>
    <xf numFmtId="0" fontId="2" fillId="0" borderId="4" xfId="0" applyFont="1" applyBorder="1" applyAlignment="1">
      <alignment vertical="center" wrapText="1"/>
    </xf>
    <xf numFmtId="0" fontId="2" fillId="0" borderId="4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vertical="center"/>
    </xf>
    <xf numFmtId="3" fontId="0" fillId="0" borderId="0" xfId="0" applyNumberFormat="1"/>
    <xf numFmtId="3" fontId="9" fillId="0" borderId="4" xfId="0" applyNumberFormat="1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vertical="center"/>
    </xf>
    <xf numFmtId="4" fontId="0" fillId="0" borderId="0" xfId="0" applyNumberFormat="1"/>
    <xf numFmtId="4" fontId="10" fillId="0" borderId="4" xfId="0" applyNumberFormat="1" applyFont="1" applyBorder="1" applyAlignment="1">
      <alignment horizontal="right" vertical="center"/>
    </xf>
    <xf numFmtId="0" fontId="10" fillId="0" borderId="3" xfId="0" applyFont="1" applyBorder="1" applyAlignment="1">
      <alignment vertical="center" wrapText="1"/>
    </xf>
    <xf numFmtId="9" fontId="0" fillId="0" borderId="0" xfId="0" applyNumberFormat="1"/>
    <xf numFmtId="164" fontId="10" fillId="0" borderId="4" xfId="0" applyNumberFormat="1" applyFont="1" applyBorder="1" applyAlignment="1">
      <alignment vertical="center"/>
    </xf>
    <xf numFmtId="10" fontId="10" fillId="0" borderId="4" xfId="1" applyNumberFormat="1" applyFont="1" applyBorder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0" fontId="11" fillId="4" borderId="3" xfId="0" applyFont="1" applyFill="1" applyBorder="1" applyAlignment="1">
      <alignment vertical="center"/>
    </xf>
    <xf numFmtId="0" fontId="11" fillId="4" borderId="4" xfId="0" applyFont="1" applyFill="1" applyBorder="1" applyAlignment="1">
      <alignment vertical="center" wrapText="1"/>
    </xf>
    <xf numFmtId="0" fontId="11" fillId="5" borderId="4" xfId="0" applyFont="1" applyFill="1" applyBorder="1" applyAlignment="1">
      <alignment horizontal="right" vertical="center"/>
    </xf>
    <xf numFmtId="4" fontId="11" fillId="5" borderId="4" xfId="0" applyNumberFormat="1" applyFont="1" applyFill="1" applyBorder="1" applyAlignment="1">
      <alignment horizontal="right" vertical="center"/>
    </xf>
    <xf numFmtId="0" fontId="11" fillId="4" borderId="4" xfId="0" applyFont="1" applyFill="1" applyBorder="1" applyAlignment="1">
      <alignment vertical="center"/>
    </xf>
    <xf numFmtId="10" fontId="10" fillId="0" borderId="5" xfId="1" applyNumberFormat="1" applyFont="1" applyFill="1" applyBorder="1" applyAlignment="1">
      <alignment vertical="center"/>
    </xf>
    <xf numFmtId="0" fontId="12" fillId="0" borderId="0" xfId="0" applyFont="1" applyAlignment="1">
      <alignment horizontal="right" vertical="center"/>
    </xf>
    <xf numFmtId="0" fontId="12" fillId="0" borderId="10" xfId="0" applyFont="1" applyBorder="1" applyAlignment="1">
      <alignment horizontal="right"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14" fillId="6" borderId="3" xfId="0" applyFont="1" applyFill="1" applyBorder="1" applyAlignment="1">
      <alignment vertical="center"/>
    </xf>
    <xf numFmtId="0" fontId="15" fillId="0" borderId="4" xfId="0" applyFont="1" applyBorder="1" applyAlignment="1">
      <alignment vertical="center" wrapText="1"/>
    </xf>
    <xf numFmtId="0" fontId="16" fillId="0" borderId="4" xfId="0" applyFont="1" applyBorder="1" applyAlignment="1">
      <alignment horizontal="right" vertical="center"/>
    </xf>
    <xf numFmtId="4" fontId="16" fillId="0" borderId="4" xfId="0" applyNumberFormat="1" applyFont="1" applyBorder="1" applyAlignment="1">
      <alignment horizontal="right" vertical="center"/>
    </xf>
    <xf numFmtId="0" fontId="0" fillId="0" borderId="4" xfId="0" applyBorder="1"/>
    <xf numFmtId="0" fontId="13" fillId="0" borderId="11" xfId="0" applyFont="1" applyBorder="1" applyAlignment="1">
      <alignment vertical="center"/>
    </xf>
    <xf numFmtId="0" fontId="13" fillId="0" borderId="4" xfId="0" applyFont="1" applyBorder="1" applyAlignment="1">
      <alignment horizontal="right" vertical="center"/>
    </xf>
    <xf numFmtId="4" fontId="13" fillId="0" borderId="4" xfId="0" applyNumberFormat="1" applyFont="1" applyBorder="1" applyAlignment="1">
      <alignment horizontal="right" vertical="center"/>
    </xf>
    <xf numFmtId="10" fontId="16" fillId="0" borderId="4" xfId="1" applyNumberFormat="1" applyFont="1" applyBorder="1" applyAlignment="1">
      <alignment horizontal="right" vertical="center"/>
    </xf>
    <xf numFmtId="0" fontId="11" fillId="7" borderId="2" xfId="0" applyFont="1" applyFill="1" applyBorder="1" applyAlignment="1">
      <alignment horizontal="right" vertical="center"/>
    </xf>
    <xf numFmtId="0" fontId="11" fillId="7" borderId="4" xfId="0" applyFont="1" applyFill="1" applyBorder="1" applyAlignment="1">
      <alignment horizontal="right" vertical="center"/>
    </xf>
    <xf numFmtId="0" fontId="14" fillId="0" borderId="1" xfId="0" applyFont="1" applyBorder="1" applyAlignment="1">
      <alignment horizontal="right" vertical="center"/>
    </xf>
    <xf numFmtId="0" fontId="16" fillId="7" borderId="4" xfId="0" applyFont="1" applyFill="1" applyBorder="1" applyAlignment="1">
      <alignment horizontal="right" vertical="center"/>
    </xf>
    <xf numFmtId="4" fontId="16" fillId="7" borderId="4" xfId="0" applyNumberFormat="1" applyFont="1" applyFill="1" applyBorder="1" applyAlignment="1">
      <alignment horizontal="right" vertical="center"/>
    </xf>
    <xf numFmtId="0" fontId="0" fillId="7" borderId="4" xfId="0" applyFill="1" applyBorder="1"/>
    <xf numFmtId="164" fontId="16" fillId="7" borderId="4" xfId="0" applyNumberFormat="1" applyFont="1" applyFill="1" applyBorder="1" applyAlignment="1">
      <alignment horizontal="right" vertical="center"/>
    </xf>
    <xf numFmtId="164" fontId="13" fillId="0" borderId="4" xfId="0" applyNumberFormat="1" applyFont="1" applyBorder="1" applyAlignment="1">
      <alignment horizontal="right" vertical="center"/>
    </xf>
    <xf numFmtId="164" fontId="0" fillId="0" borderId="0" xfId="0" applyNumberFormat="1"/>
    <xf numFmtId="165" fontId="0" fillId="0" borderId="0" xfId="1" applyNumberFormat="1" applyFont="1"/>
    <xf numFmtId="166" fontId="11" fillId="4" borderId="4" xfId="0" applyNumberFormat="1" applyFont="1" applyFill="1" applyBorder="1" applyAlignment="1">
      <alignment horizontal="right" vertical="center"/>
    </xf>
    <xf numFmtId="166" fontId="13" fillId="0" borderId="4" xfId="0" applyNumberFormat="1" applyFont="1" applyBorder="1" applyAlignment="1">
      <alignment horizontal="right" vertical="center"/>
    </xf>
    <xf numFmtId="0" fontId="13" fillId="0" borderId="6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4" xfId="0" applyFont="1" applyBorder="1" applyAlignment="1">
      <alignment vertical="center" wrapText="1"/>
    </xf>
    <xf numFmtId="4" fontId="17" fillId="7" borderId="4" xfId="0" applyNumberFormat="1" applyFont="1" applyFill="1" applyBorder="1" applyAlignment="1">
      <alignment horizontal="right" vertical="center" wrapText="1"/>
    </xf>
    <xf numFmtId="3" fontId="17" fillId="7" borderId="4" xfId="0" applyNumberFormat="1" applyFont="1" applyFill="1" applyBorder="1" applyAlignment="1">
      <alignment horizontal="right" vertical="center" wrapText="1"/>
    </xf>
    <xf numFmtId="4" fontId="13" fillId="0" borderId="4" xfId="0" applyNumberFormat="1" applyFont="1" applyBorder="1" applyAlignment="1">
      <alignment horizontal="right" vertical="center" wrapText="1"/>
    </xf>
    <xf numFmtId="0" fontId="13" fillId="0" borderId="4" xfId="0" applyFont="1" applyBorder="1" applyAlignment="1">
      <alignment horizontal="right" vertical="center" wrapText="1"/>
    </xf>
    <xf numFmtId="166" fontId="17" fillId="7" borderId="4" xfId="0" applyNumberFormat="1" applyFont="1" applyFill="1" applyBorder="1" applyAlignment="1">
      <alignment horizontal="right" vertical="center" wrapText="1"/>
    </xf>
    <xf numFmtId="10" fontId="16" fillId="7" borderId="4" xfId="1" applyNumberFormat="1" applyFont="1" applyFill="1" applyBorder="1" applyAlignment="1">
      <alignment horizontal="right" vertical="center"/>
    </xf>
    <xf numFmtId="166" fontId="16" fillId="7" borderId="4" xfId="1" applyNumberFormat="1" applyFont="1" applyFill="1" applyBorder="1" applyAlignment="1">
      <alignment horizontal="right" vertical="center"/>
    </xf>
    <xf numFmtId="166" fontId="16" fillId="7" borderId="1" xfId="1" applyNumberFormat="1" applyFont="1" applyFill="1" applyBorder="1" applyAlignment="1">
      <alignment horizontal="right" vertical="center"/>
    </xf>
    <xf numFmtId="166" fontId="0" fillId="0" borderId="0" xfId="0" applyNumberFormat="1"/>
    <xf numFmtId="4" fontId="10" fillId="7" borderId="4" xfId="0" applyNumberFormat="1" applyFont="1" applyFill="1" applyBorder="1" applyAlignment="1">
      <alignment horizontal="right" vertical="center"/>
    </xf>
    <xf numFmtId="0" fontId="10" fillId="7" borderId="4" xfId="0" applyFont="1" applyFill="1" applyBorder="1" applyAlignment="1">
      <alignment vertical="center"/>
    </xf>
    <xf numFmtId="10" fontId="0" fillId="0" borderId="0" xfId="1" applyNumberFormat="1" applyFont="1"/>
    <xf numFmtId="10" fontId="10" fillId="7" borderId="4" xfId="1" applyNumberFormat="1" applyFont="1" applyFill="1" applyBorder="1" applyAlignment="1">
      <alignment horizontal="right" vertical="center"/>
    </xf>
    <xf numFmtId="10" fontId="10" fillId="7" borderId="4" xfId="1" applyNumberFormat="1" applyFont="1" applyFill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10" fontId="10" fillId="0" borderId="3" xfId="1" applyNumberFormat="1" applyFont="1" applyFill="1" applyBorder="1" applyAlignment="1">
      <alignment horizontal="right" vertical="center"/>
    </xf>
    <xf numFmtId="0" fontId="10" fillId="0" borderId="3" xfId="0" applyFont="1" applyFill="1" applyBorder="1" applyAlignment="1">
      <alignment vertical="center"/>
    </xf>
    <xf numFmtId="4" fontId="10" fillId="0" borderId="4" xfId="0" applyNumberFormat="1" applyFont="1" applyFill="1" applyBorder="1" applyAlignment="1">
      <alignment horizontal="right" vertical="center"/>
    </xf>
    <xf numFmtId="10" fontId="10" fillId="0" borderId="3" xfId="1" applyNumberFormat="1" applyFont="1" applyFill="1" applyBorder="1" applyAlignment="1">
      <alignment vertical="center"/>
    </xf>
    <xf numFmtId="0" fontId="10" fillId="0" borderId="4" xfId="0" applyFont="1" applyFill="1" applyBorder="1" applyAlignment="1">
      <alignment vertical="center"/>
    </xf>
    <xf numFmtId="0" fontId="10" fillId="0" borderId="3" xfId="0" applyFont="1" applyFill="1" applyBorder="1" applyAlignment="1">
      <alignment vertical="center" wrapText="1"/>
    </xf>
    <xf numFmtId="0" fontId="0" fillId="0" borderId="0" xfId="0" applyFill="1"/>
    <xf numFmtId="10" fontId="10" fillId="0" borderId="4" xfId="1" applyNumberFormat="1" applyFont="1" applyFill="1" applyBorder="1" applyAlignment="1">
      <alignment horizontal="right" vertical="center"/>
    </xf>
    <xf numFmtId="10" fontId="10" fillId="0" borderId="4" xfId="1" applyNumberFormat="1" applyFont="1" applyFill="1" applyBorder="1" applyAlignment="1">
      <alignment vertical="center"/>
    </xf>
    <xf numFmtId="0" fontId="0" fillId="0" borderId="10" xfId="0" applyBorder="1" applyAlignment="1"/>
    <xf numFmtId="10" fontId="10" fillId="0" borderId="10" xfId="1" applyNumberFormat="1" applyFont="1" applyFill="1" applyBorder="1" applyAlignment="1">
      <alignment horizontal="right" vertical="center"/>
    </xf>
    <xf numFmtId="4" fontId="10" fillId="7" borderId="1" xfId="0" applyNumberFormat="1" applyFont="1" applyFill="1" applyBorder="1" applyAlignment="1">
      <alignment horizontal="right" vertical="center"/>
    </xf>
    <xf numFmtId="4" fontId="10" fillId="7" borderId="3" xfId="0" applyNumberFormat="1" applyFont="1" applyFill="1" applyBorder="1" applyAlignment="1">
      <alignment horizontal="right" vertical="center"/>
    </xf>
    <xf numFmtId="167" fontId="10" fillId="0" borderId="4" xfId="0" applyNumberFormat="1" applyFont="1" applyFill="1" applyBorder="1" applyAlignment="1">
      <alignment horizontal="right" vertical="center"/>
    </xf>
    <xf numFmtId="4" fontId="10" fillId="8" borderId="4" xfId="0" applyNumberFormat="1" applyFont="1" applyFill="1" applyBorder="1" applyAlignment="1">
      <alignment horizontal="right" vertical="center"/>
    </xf>
    <xf numFmtId="0" fontId="18" fillId="0" borderId="0" xfId="0" applyFont="1" applyAlignment="1">
      <alignment horizontal="justify" vertical="center"/>
    </xf>
    <xf numFmtId="43" fontId="18" fillId="0" borderId="0" xfId="2" applyFont="1" applyAlignment="1">
      <alignment horizontal="justify" vertical="center"/>
    </xf>
    <xf numFmtId="43" fontId="0" fillId="0" borderId="0" xfId="0" applyNumberFormat="1"/>
    <xf numFmtId="164" fontId="16" fillId="7" borderId="5" xfId="0" applyNumberFormat="1" applyFont="1" applyFill="1" applyBorder="1" applyAlignment="1">
      <alignment horizontal="right" vertical="center"/>
    </xf>
    <xf numFmtId="0" fontId="14" fillId="6" borderId="13" xfId="0" applyFont="1" applyFill="1" applyBorder="1" applyAlignment="1">
      <alignment vertical="center" wrapText="1"/>
    </xf>
    <xf numFmtId="0" fontId="21" fillId="0" borderId="7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0" fillId="0" borderId="4" xfId="0" applyFont="1" applyBorder="1" applyAlignment="1">
      <alignment vertical="center"/>
    </xf>
    <xf numFmtId="0" fontId="20" fillId="0" borderId="2" xfId="0" applyFont="1" applyBorder="1" applyAlignment="1">
      <alignment vertical="center"/>
    </xf>
    <xf numFmtId="0" fontId="20" fillId="0" borderId="3" xfId="0" applyFont="1" applyBorder="1" applyAlignment="1">
      <alignment vertical="center"/>
    </xf>
    <xf numFmtId="3" fontId="20" fillId="0" borderId="4" xfId="0" applyNumberFormat="1" applyFont="1" applyBorder="1" applyAlignment="1">
      <alignment horizontal="right" vertical="center"/>
    </xf>
    <xf numFmtId="9" fontId="20" fillId="0" borderId="4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10" xfId="0" applyFont="1" applyBorder="1" applyAlignment="1">
      <alignment vertical="center" wrapText="1"/>
    </xf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 wrapText="1"/>
    </xf>
    <xf numFmtId="0" fontId="11" fillId="0" borderId="4" xfId="0" applyFont="1" applyBorder="1" applyAlignment="1">
      <alignment horizontal="right" vertical="center"/>
    </xf>
    <xf numFmtId="4" fontId="11" fillId="0" borderId="4" xfId="0" applyNumberFormat="1" applyFont="1" applyBorder="1" applyAlignment="1">
      <alignment horizontal="right" vertical="center"/>
    </xf>
    <xf numFmtId="10" fontId="10" fillId="0" borderId="4" xfId="0" applyNumberFormat="1" applyFont="1" applyBorder="1" applyAlignment="1">
      <alignment horizontal="right" vertical="center" wrapText="1"/>
    </xf>
    <xf numFmtId="0" fontId="11" fillId="9" borderId="4" xfId="0" applyFont="1" applyFill="1" applyBorder="1" applyAlignment="1">
      <alignment horizontal="right" vertical="center"/>
    </xf>
    <xf numFmtId="0" fontId="11" fillId="0" borderId="4" xfId="0" applyFont="1" applyBorder="1" applyAlignment="1">
      <alignment vertical="center"/>
    </xf>
    <xf numFmtId="0" fontId="7" fillId="0" borderId="14" xfId="0" applyFont="1" applyBorder="1" applyAlignment="1">
      <alignment vertical="center"/>
    </xf>
    <xf numFmtId="0" fontId="7" fillId="0" borderId="10" xfId="0" applyFont="1" applyBorder="1" applyAlignment="1">
      <alignment vertical="center"/>
    </xf>
    <xf numFmtId="0" fontId="7" fillId="0" borderId="4" xfId="0" applyFont="1" applyBorder="1" applyAlignment="1">
      <alignment horizontal="right" vertical="center"/>
    </xf>
    <xf numFmtId="4" fontId="7" fillId="0" borderId="4" xfId="0" applyNumberFormat="1" applyFont="1" applyBorder="1" applyAlignment="1">
      <alignment horizontal="right" vertical="center"/>
    </xf>
    <xf numFmtId="0" fontId="0" fillId="0" borderId="15" xfId="0" applyBorder="1"/>
    <xf numFmtId="0" fontId="0" fillId="0" borderId="15" xfId="0" applyBorder="1" applyAlignment="1">
      <alignment horizontal="center" vertical="center" textRotation="90"/>
    </xf>
    <xf numFmtId="0" fontId="22" fillId="0" borderId="10" xfId="0" applyFont="1" applyBorder="1" applyAlignment="1">
      <alignment horizontal="right" vertical="center"/>
    </xf>
    <xf numFmtId="0" fontId="0" fillId="0" borderId="16" xfId="0" applyBorder="1" applyAlignment="1">
      <alignment vertical="center" textRotation="90" wrapText="1"/>
    </xf>
    <xf numFmtId="4" fontId="11" fillId="0" borderId="15" xfId="0" applyNumberFormat="1" applyFont="1" applyBorder="1" applyAlignment="1">
      <alignment horizontal="right" vertical="center"/>
    </xf>
    <xf numFmtId="166" fontId="11" fillId="9" borderId="4" xfId="0" applyNumberFormat="1" applyFont="1" applyFill="1" applyBorder="1" applyAlignment="1">
      <alignment horizontal="right" vertical="center"/>
    </xf>
    <xf numFmtId="4" fontId="17" fillId="0" borderId="4" xfId="0" applyNumberFormat="1" applyFont="1" applyBorder="1" applyAlignment="1">
      <alignment horizontal="right" vertical="center"/>
    </xf>
    <xf numFmtId="0" fontId="11" fillId="0" borderId="0" xfId="0" applyFont="1" applyAlignment="1">
      <alignment vertical="center"/>
    </xf>
    <xf numFmtId="0" fontId="21" fillId="0" borderId="1" xfId="0" applyFont="1" applyBorder="1" applyAlignment="1">
      <alignment horizontal="center" vertical="center"/>
    </xf>
    <xf numFmtId="3" fontId="21" fillId="0" borderId="4" xfId="0" applyNumberFormat="1" applyFont="1" applyBorder="1" applyAlignment="1">
      <alignment horizontal="right" vertical="center"/>
    </xf>
    <xf numFmtId="164" fontId="20" fillId="0" borderId="4" xfId="0" applyNumberFormat="1" applyFont="1" applyBorder="1" applyAlignment="1">
      <alignment vertical="center"/>
    </xf>
    <xf numFmtId="164" fontId="20" fillId="0" borderId="4" xfId="0" applyNumberFormat="1" applyFont="1" applyBorder="1" applyAlignment="1">
      <alignment horizontal="right" vertical="center"/>
    </xf>
    <xf numFmtId="4" fontId="21" fillId="0" borderId="4" xfId="0" applyNumberFormat="1" applyFont="1" applyBorder="1" applyAlignment="1">
      <alignment horizontal="right" vertical="center"/>
    </xf>
    <xf numFmtId="0" fontId="7" fillId="0" borderId="0" xfId="0" applyFont="1"/>
    <xf numFmtId="0" fontId="7" fillId="0" borderId="1" xfId="0" applyFont="1" applyBorder="1" applyAlignment="1">
      <alignment vertical="center" wrapText="1"/>
    </xf>
    <xf numFmtId="10" fontId="21" fillId="0" borderId="4" xfId="1" applyNumberFormat="1" applyFont="1" applyBorder="1" applyAlignment="1">
      <alignment horizontal="right" vertical="center"/>
    </xf>
    <xf numFmtId="10" fontId="20" fillId="0" borderId="4" xfId="1" applyNumberFormat="1" applyFont="1" applyBorder="1" applyAlignment="1">
      <alignment vertical="center"/>
    </xf>
    <xf numFmtId="10" fontId="20" fillId="0" borderId="4" xfId="1" applyNumberFormat="1" applyFont="1" applyBorder="1" applyAlignment="1">
      <alignment horizontal="right" vertical="center"/>
    </xf>
    <xf numFmtId="0" fontId="0" fillId="0" borderId="0" xfId="0" applyBorder="1"/>
    <xf numFmtId="0" fontId="0" fillId="0" borderId="22" xfId="0" applyBorder="1"/>
    <xf numFmtId="0" fontId="0" fillId="0" borderId="23" xfId="0" applyBorder="1"/>
    <xf numFmtId="0" fontId="0" fillId="0" borderId="21" xfId="0" applyBorder="1"/>
    <xf numFmtId="4" fontId="0" fillId="0" borderId="22" xfId="0" applyNumberFormat="1" applyBorder="1"/>
    <xf numFmtId="0" fontId="25" fillId="0" borderId="3" xfId="0" applyFont="1" applyBorder="1" applyAlignment="1">
      <alignment vertical="center"/>
    </xf>
    <xf numFmtId="0" fontId="25" fillId="0" borderId="4" xfId="0" applyFont="1" applyBorder="1" applyAlignment="1">
      <alignment vertical="center"/>
    </xf>
    <xf numFmtId="3" fontId="25" fillId="0" borderId="4" xfId="0" applyNumberFormat="1" applyFont="1" applyBorder="1" applyAlignment="1">
      <alignment horizontal="right" vertical="center"/>
    </xf>
    <xf numFmtId="0" fontId="26" fillId="0" borderId="14" xfId="0" applyFont="1" applyBorder="1" applyAlignment="1">
      <alignment vertical="center"/>
    </xf>
    <xf numFmtId="0" fontId="26" fillId="0" borderId="4" xfId="0" applyFont="1" applyBorder="1" applyAlignment="1">
      <alignment vertical="center"/>
    </xf>
    <xf numFmtId="3" fontId="26" fillId="0" borderId="4" xfId="0" applyNumberFormat="1" applyFont="1" applyBorder="1" applyAlignment="1">
      <alignment horizontal="right" vertical="center"/>
    </xf>
    <xf numFmtId="166" fontId="0" fillId="0" borderId="15" xfId="0" applyNumberFormat="1" applyBorder="1"/>
    <xf numFmtId="4" fontId="0" fillId="0" borderId="15" xfId="0" applyNumberFormat="1" applyBorder="1"/>
    <xf numFmtId="3" fontId="0" fillId="0" borderId="15" xfId="0" applyNumberFormat="1" applyBorder="1"/>
    <xf numFmtId="10" fontId="0" fillId="0" borderId="22" xfId="1" applyNumberFormat="1" applyFont="1" applyBorder="1"/>
    <xf numFmtId="0" fontId="19" fillId="0" borderId="22" xfId="0" applyFont="1" applyBorder="1"/>
    <xf numFmtId="0" fontId="19" fillId="0" borderId="0" xfId="0" applyFont="1" applyBorder="1" applyAlignment="1">
      <alignment horizontal="center" vertical="center" textRotation="90"/>
    </xf>
    <xf numFmtId="4" fontId="23" fillId="0" borderId="0" xfId="0" applyNumberFormat="1" applyFont="1" applyBorder="1" applyAlignment="1">
      <alignment horizontal="right" vertical="center"/>
    </xf>
    <xf numFmtId="4" fontId="19" fillId="0" borderId="0" xfId="0" applyNumberFormat="1" applyFont="1" applyBorder="1"/>
    <xf numFmtId="10" fontId="0" fillId="0" borderId="15" xfId="1" applyNumberFormat="1" applyFont="1" applyBorder="1"/>
    <xf numFmtId="0" fontId="0" fillId="0" borderId="0" xfId="0" applyAlignment="1">
      <alignment vertical="center"/>
    </xf>
    <xf numFmtId="169" fontId="0" fillId="0" borderId="15" xfId="0" applyNumberFormat="1" applyBorder="1"/>
    <xf numFmtId="0" fontId="0" fillId="0" borderId="15" xfId="0" applyBorder="1" applyAlignment="1">
      <alignment horizontal="center" vertical="center" textRotation="90" wrapText="1"/>
    </xf>
    <xf numFmtId="0" fontId="10" fillId="0" borderId="10" xfId="0" applyFont="1" applyBorder="1" applyAlignment="1">
      <alignment vertical="center"/>
    </xf>
    <xf numFmtId="0" fontId="10" fillId="0" borderId="4" xfId="0" applyFont="1" applyBorder="1" applyAlignment="1">
      <alignment horizontal="center" vertical="center"/>
    </xf>
    <xf numFmtId="10" fontId="10" fillId="0" borderId="4" xfId="0" applyNumberFormat="1" applyFont="1" applyBorder="1" applyAlignment="1">
      <alignment horizontal="right" vertical="center"/>
    </xf>
    <xf numFmtId="10" fontId="10" fillId="7" borderId="4" xfId="0" applyNumberFormat="1" applyFont="1" applyFill="1" applyBorder="1" applyAlignment="1">
      <alignment horizontal="right" vertical="center"/>
    </xf>
    <xf numFmtId="0" fontId="10" fillId="0" borderId="4" xfId="0" applyFont="1" applyBorder="1" applyAlignment="1">
      <alignment vertical="center"/>
    </xf>
    <xf numFmtId="0" fontId="10" fillId="7" borderId="4" xfId="0" applyFont="1" applyFill="1" applyBorder="1" applyAlignment="1">
      <alignment horizontal="right" vertical="center"/>
    </xf>
    <xf numFmtId="0" fontId="10" fillId="0" borderId="4" xfId="0" applyFont="1" applyBorder="1" applyAlignment="1">
      <alignment horizontal="right" vertical="center"/>
    </xf>
    <xf numFmtId="0" fontId="10" fillId="7" borderId="3" xfId="0" applyFont="1" applyFill="1" applyBorder="1" applyAlignment="1">
      <alignment horizontal="right" vertical="center"/>
    </xf>
    <xf numFmtId="166" fontId="10" fillId="0" borderId="4" xfId="0" applyNumberFormat="1" applyFont="1" applyBorder="1" applyAlignment="1">
      <alignment horizontal="right" vertical="center"/>
    </xf>
    <xf numFmtId="166" fontId="11" fillId="10" borderId="15" xfId="1" applyNumberFormat="1" applyFont="1" applyFill="1" applyBorder="1" applyAlignment="1">
      <alignment horizontal="right" vertical="center"/>
    </xf>
    <xf numFmtId="166" fontId="0" fillId="10" borderId="22" xfId="1" applyNumberFormat="1" applyFont="1" applyFill="1" applyBorder="1"/>
    <xf numFmtId="166" fontId="0" fillId="10" borderId="15" xfId="1" applyNumberFormat="1" applyFont="1" applyFill="1" applyBorder="1"/>
    <xf numFmtId="10" fontId="11" fillId="10" borderId="15" xfId="1" applyNumberFormat="1" applyFont="1" applyFill="1" applyBorder="1" applyAlignment="1">
      <alignment horizontal="right" vertical="center"/>
    </xf>
    <xf numFmtId="2" fontId="25" fillId="0" borderId="3" xfId="0" applyNumberFormat="1" applyFont="1" applyBorder="1" applyAlignment="1">
      <alignment horizontal="center" vertical="center" wrapText="1"/>
    </xf>
    <xf numFmtId="2" fontId="25" fillId="0" borderId="4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3" fontId="11" fillId="0" borderId="4" xfId="0" applyNumberFormat="1" applyFont="1" applyBorder="1" applyAlignment="1">
      <alignment horizontal="right" vertical="center"/>
    </xf>
    <xf numFmtId="0" fontId="7" fillId="0" borderId="3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15" fillId="6" borderId="3" xfId="0" applyFont="1" applyFill="1" applyBorder="1" applyAlignment="1">
      <alignment vertical="center"/>
    </xf>
    <xf numFmtId="0" fontId="15" fillId="0" borderId="4" xfId="0" applyFont="1" applyBorder="1" applyAlignment="1">
      <alignment horizontal="right" vertical="center"/>
    </xf>
    <xf numFmtId="4" fontId="15" fillId="0" borderId="4" xfId="0" applyNumberFormat="1" applyFont="1" applyBorder="1" applyAlignment="1">
      <alignment horizontal="right" vertical="center"/>
    </xf>
    <xf numFmtId="0" fontId="15" fillId="0" borderId="3" xfId="0" applyFont="1" applyBorder="1" applyAlignment="1">
      <alignment vertical="center"/>
    </xf>
    <xf numFmtId="0" fontId="12" fillId="0" borderId="0" xfId="0" applyFont="1" applyBorder="1" applyAlignment="1">
      <alignment horizontal="right" vertical="center"/>
    </xf>
    <xf numFmtId="0" fontId="16" fillId="0" borderId="15" xfId="0" applyFont="1" applyBorder="1" applyAlignment="1">
      <alignment horizontal="right" vertical="center"/>
    </xf>
    <xf numFmtId="0" fontId="15" fillId="6" borderId="15" xfId="0" applyFont="1" applyFill="1" applyBorder="1" applyAlignment="1">
      <alignment horizontal="right" vertical="center"/>
    </xf>
    <xf numFmtId="0" fontId="15" fillId="6" borderId="15" xfId="0" applyFont="1" applyFill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5" fillId="0" borderId="23" xfId="0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168" fontId="11" fillId="10" borderId="15" xfId="0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21" fillId="0" borderId="7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14" fillId="0" borderId="12" xfId="0" applyFont="1" applyBorder="1" applyAlignment="1">
      <alignment horizontal="right" vertical="center"/>
    </xf>
    <xf numFmtId="0" fontId="14" fillId="0" borderId="3" xfId="0" applyFont="1" applyBorder="1" applyAlignment="1">
      <alignment horizontal="right" vertical="center"/>
    </xf>
    <xf numFmtId="0" fontId="5" fillId="0" borderId="12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0" fillId="0" borderId="15" xfId="0" applyBorder="1" applyAlignment="1">
      <alignment horizontal="left"/>
    </xf>
    <xf numFmtId="166" fontId="0" fillId="0" borderId="15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21" fillId="0" borderId="17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21" fillId="0" borderId="1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11" fillId="0" borderId="2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/>
    </xf>
  </cellXfs>
  <cellStyles count="3">
    <cellStyle name="Millares" xfId="2" builtinId="3"/>
    <cellStyle name="Normal" xfId="0" builtinId="0"/>
    <cellStyle name="Porcentaje" xfId="1" builtinId="5"/>
  </cellStyles>
  <dxfs count="14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9"/>
  <sheetViews>
    <sheetView topLeftCell="A49" workbookViewId="0">
      <selection activeCell="G33" sqref="G33"/>
    </sheetView>
  </sheetViews>
  <sheetFormatPr baseColWidth="10" defaultRowHeight="15" x14ac:dyDescent="0.25"/>
  <cols>
    <col min="2" max="2" width="30" bestFit="1" customWidth="1"/>
  </cols>
  <sheetData>
    <row r="2" spans="2:4" ht="15.75" thickBot="1" x14ac:dyDescent="0.3">
      <c r="B2" s="200" t="s">
        <v>117</v>
      </c>
      <c r="C2" s="200"/>
      <c r="D2" s="200"/>
    </row>
    <row r="3" spans="2:4" ht="39" thickBot="1" x14ac:dyDescent="0.3">
      <c r="B3" s="177" t="s">
        <v>118</v>
      </c>
      <c r="C3" s="178" t="s">
        <v>119</v>
      </c>
      <c r="D3" s="178" t="s">
        <v>120</v>
      </c>
    </row>
    <row r="4" spans="2:4" ht="15.75" thickBot="1" x14ac:dyDescent="0.3">
      <c r="B4" s="146" t="s">
        <v>78</v>
      </c>
      <c r="C4" s="147" t="s">
        <v>121</v>
      </c>
      <c r="D4" s="148">
        <v>14050</v>
      </c>
    </row>
    <row r="5" spans="2:4" ht="15.75" thickBot="1" x14ac:dyDescent="0.3">
      <c r="B5" s="146" t="s">
        <v>79</v>
      </c>
      <c r="C5" s="147" t="s">
        <v>121</v>
      </c>
      <c r="D5" s="148">
        <v>14060</v>
      </c>
    </row>
    <row r="6" spans="2:4" ht="15.75" thickBot="1" x14ac:dyDescent="0.3">
      <c r="B6" s="146" t="s">
        <v>80</v>
      </c>
      <c r="C6" s="147" t="s">
        <v>121</v>
      </c>
      <c r="D6" s="148">
        <v>45485</v>
      </c>
    </row>
    <row r="7" spans="2:4" ht="15.75" thickBot="1" x14ac:dyDescent="0.3">
      <c r="B7" s="146" t="s">
        <v>81</v>
      </c>
      <c r="C7" s="147" t="s">
        <v>121</v>
      </c>
      <c r="D7" s="148">
        <v>45485</v>
      </c>
    </row>
    <row r="8" spans="2:4" ht="15.75" thickBot="1" x14ac:dyDescent="0.3">
      <c r="B8" s="149" t="s">
        <v>122</v>
      </c>
      <c r="C8" s="150"/>
      <c r="D8" s="151">
        <f>SUM(D4:D7)</f>
        <v>119080</v>
      </c>
    </row>
    <row r="11" spans="2:4" ht="25.5" customHeight="1" thickBot="1" x14ac:dyDescent="0.3">
      <c r="B11" s="201" t="s">
        <v>135</v>
      </c>
      <c r="C11" s="201"/>
    </row>
    <row r="12" spans="2:4" ht="15.75" thickBot="1" x14ac:dyDescent="0.3">
      <c r="B12" s="179" t="s">
        <v>19</v>
      </c>
      <c r="C12" s="180" t="s">
        <v>20</v>
      </c>
    </row>
    <row r="13" spans="2:4" ht="15.75" thickBot="1" x14ac:dyDescent="0.3">
      <c r="B13" s="146" t="s">
        <v>123</v>
      </c>
      <c r="C13" s="181">
        <v>8640</v>
      </c>
    </row>
    <row r="14" spans="2:4" ht="15.75" thickBot="1" x14ac:dyDescent="0.3">
      <c r="B14" s="112" t="s">
        <v>22</v>
      </c>
      <c r="C14" s="181">
        <v>86400</v>
      </c>
    </row>
    <row r="15" spans="2:4" ht="15.75" thickBot="1" x14ac:dyDescent="0.3">
      <c r="B15" s="112" t="s">
        <v>23</v>
      </c>
      <c r="C15" s="181">
        <v>1652</v>
      </c>
    </row>
    <row r="16" spans="2:4" ht="15.75" thickBot="1" x14ac:dyDescent="0.3">
      <c r="B16" s="112" t="s">
        <v>24</v>
      </c>
      <c r="C16" s="181">
        <v>17500</v>
      </c>
    </row>
    <row r="17" spans="2:8" ht="15.75" thickBot="1" x14ac:dyDescent="0.3">
      <c r="B17" s="112" t="s">
        <v>25</v>
      </c>
      <c r="C17" s="181">
        <v>7000</v>
      </c>
    </row>
    <row r="18" spans="2:8" ht="15.75" thickBot="1" x14ac:dyDescent="0.3">
      <c r="B18" s="112" t="s">
        <v>26</v>
      </c>
      <c r="C18" s="181">
        <v>37596</v>
      </c>
    </row>
    <row r="19" spans="2:8" ht="15.75" thickBot="1" x14ac:dyDescent="0.3">
      <c r="B19" s="112" t="s">
        <v>27</v>
      </c>
      <c r="C19" s="181">
        <v>260000</v>
      </c>
    </row>
    <row r="20" spans="2:8" ht="15.75" thickBot="1" x14ac:dyDescent="0.3">
      <c r="B20" s="112" t="s">
        <v>28</v>
      </c>
      <c r="C20" s="181">
        <v>165000</v>
      </c>
    </row>
    <row r="21" spans="2:8" ht="15.75" thickBot="1" x14ac:dyDescent="0.3">
      <c r="B21" s="112" t="s">
        <v>136</v>
      </c>
      <c r="C21" s="181">
        <v>3000</v>
      </c>
    </row>
    <row r="22" spans="2:8" ht="15.75" thickBot="1" x14ac:dyDescent="0.3">
      <c r="B22" s="182" t="s">
        <v>122</v>
      </c>
      <c r="C22" s="122">
        <f>SUM(C13:C21)</f>
        <v>586788</v>
      </c>
    </row>
    <row r="25" spans="2:8" ht="15.75" thickBot="1" x14ac:dyDescent="0.3">
      <c r="B25" s="188">
        <v>0</v>
      </c>
      <c r="C25" s="202" t="s">
        <v>107</v>
      </c>
      <c r="D25" s="202"/>
      <c r="E25" s="202"/>
      <c r="F25" s="202"/>
      <c r="G25" s="202"/>
      <c r="H25" s="202"/>
    </row>
    <row r="26" spans="2:8" ht="15.75" thickBot="1" x14ac:dyDescent="0.3">
      <c r="B26" s="189" t="s">
        <v>104</v>
      </c>
      <c r="C26" s="192" t="s">
        <v>137</v>
      </c>
      <c r="D26" s="183" t="s">
        <v>138</v>
      </c>
      <c r="E26" s="183" t="s">
        <v>139</v>
      </c>
      <c r="F26" s="183" t="s">
        <v>140</v>
      </c>
      <c r="G26" s="183" t="s">
        <v>141</v>
      </c>
      <c r="H26" s="183" t="s">
        <v>142</v>
      </c>
    </row>
    <row r="27" spans="2:8" ht="33.75" x14ac:dyDescent="0.25">
      <c r="B27" s="190" t="s">
        <v>102</v>
      </c>
      <c r="C27" s="193" t="s">
        <v>144</v>
      </c>
      <c r="D27" s="193" t="s">
        <v>145</v>
      </c>
      <c r="E27" s="193" t="s">
        <v>146</v>
      </c>
      <c r="F27" s="193" t="s">
        <v>145</v>
      </c>
      <c r="G27" s="193" t="s">
        <v>145</v>
      </c>
      <c r="H27" s="193" t="s">
        <v>147</v>
      </c>
    </row>
    <row r="28" spans="2:8" x14ac:dyDescent="0.25">
      <c r="B28" s="191" t="s">
        <v>143</v>
      </c>
      <c r="C28" s="194"/>
      <c r="D28" s="194"/>
      <c r="E28" s="194"/>
      <c r="F28" s="194"/>
      <c r="G28" s="194"/>
      <c r="H28" s="194"/>
    </row>
    <row r="29" spans="2:8" ht="15.75" thickBot="1" x14ac:dyDescent="0.3">
      <c r="B29" s="184" t="s">
        <v>78</v>
      </c>
      <c r="C29" s="185">
        <v>252.93</v>
      </c>
      <c r="D29" s="186">
        <v>42150</v>
      </c>
      <c r="E29" s="170"/>
      <c r="F29" s="170"/>
      <c r="G29" s="186">
        <v>42150</v>
      </c>
      <c r="H29" s="186">
        <v>4215</v>
      </c>
    </row>
    <row r="30" spans="2:8" ht="15.75" thickBot="1" x14ac:dyDescent="0.3">
      <c r="B30" s="184" t="s">
        <v>79</v>
      </c>
      <c r="C30" s="185">
        <v>253.11</v>
      </c>
      <c r="D30" s="186">
        <v>42190</v>
      </c>
      <c r="E30" s="170"/>
      <c r="F30" s="170"/>
      <c r="G30" s="186">
        <v>42190</v>
      </c>
      <c r="H30" s="186">
        <v>4219</v>
      </c>
    </row>
    <row r="31" spans="2:8" ht="15.75" thickBot="1" x14ac:dyDescent="0.3">
      <c r="B31" s="184" t="s">
        <v>80</v>
      </c>
      <c r="C31" s="170"/>
      <c r="D31" s="170"/>
      <c r="E31" s="185">
        <v>363.9</v>
      </c>
      <c r="F31" s="186">
        <v>181950</v>
      </c>
      <c r="G31" s="186">
        <v>181950</v>
      </c>
      <c r="H31" s="186">
        <v>18195</v>
      </c>
    </row>
    <row r="32" spans="2:8" ht="15.75" thickBot="1" x14ac:dyDescent="0.3">
      <c r="B32" s="184" t="s">
        <v>81</v>
      </c>
      <c r="C32" s="170"/>
      <c r="D32" s="170"/>
      <c r="E32" s="185">
        <v>363.9</v>
      </c>
      <c r="F32" s="186">
        <v>181950</v>
      </c>
      <c r="G32" s="186">
        <v>181950</v>
      </c>
      <c r="H32" s="186">
        <v>18195</v>
      </c>
    </row>
    <row r="33" spans="2:9" ht="15.75" thickBot="1" x14ac:dyDescent="0.3">
      <c r="B33" s="46" t="s">
        <v>82</v>
      </c>
      <c r="C33" s="48">
        <f>SUM(C29:C32)</f>
        <v>506.04</v>
      </c>
      <c r="D33" s="48">
        <f t="shared" ref="D33:H33" si="0">SUM(D29:D32)</f>
        <v>84340</v>
      </c>
      <c r="E33" s="48">
        <f t="shared" si="0"/>
        <v>727.8</v>
      </c>
      <c r="F33" s="48">
        <f t="shared" si="0"/>
        <v>363900</v>
      </c>
      <c r="G33" s="48">
        <f t="shared" si="0"/>
        <v>448240</v>
      </c>
      <c r="H33" s="48">
        <f t="shared" si="0"/>
        <v>44824</v>
      </c>
    </row>
    <row r="37" spans="2:9" ht="15.75" thickBot="1" x14ac:dyDescent="0.3">
      <c r="B37" s="196" t="s">
        <v>101</v>
      </c>
      <c r="C37" s="196"/>
      <c r="D37" s="196"/>
      <c r="E37" s="196"/>
      <c r="F37" s="196"/>
      <c r="G37" s="196"/>
      <c r="H37" s="196"/>
      <c r="I37" s="196"/>
    </row>
    <row r="38" spans="2:9" ht="15.75" thickBot="1" x14ac:dyDescent="0.3">
      <c r="D38" s="197" t="s">
        <v>43</v>
      </c>
      <c r="E38" s="198"/>
      <c r="F38" s="198"/>
      <c r="G38" s="198"/>
      <c r="H38" s="198"/>
      <c r="I38" s="199"/>
    </row>
    <row r="39" spans="2:9" ht="15.75" thickBot="1" x14ac:dyDescent="0.3">
      <c r="B39" s="102" t="str">
        <f t="array" ref="B39:C49">$B$12:$C$22</f>
        <v xml:space="preserve">NOMBRE DEL FACTOR PRODUCTIVO </v>
      </c>
      <c r="C39" s="103" t="str">
        <v>Coste total (€)</v>
      </c>
      <c r="D39" s="104" t="s">
        <v>32</v>
      </c>
      <c r="E39" s="105" t="s">
        <v>33</v>
      </c>
      <c r="F39" s="105" t="s">
        <v>34</v>
      </c>
      <c r="G39" s="105" t="s">
        <v>35</v>
      </c>
      <c r="H39" s="105" t="s">
        <v>36</v>
      </c>
      <c r="I39" s="105" t="s">
        <v>37</v>
      </c>
    </row>
    <row r="40" spans="2:9" ht="15.75" thickBot="1" x14ac:dyDescent="0.3">
      <c r="B40" s="187" t="str">
        <v xml:space="preserve">Hilo Metálico </v>
      </c>
      <c r="C40" s="107">
        <v>8640</v>
      </c>
      <c r="D40" s="104"/>
      <c r="E40" s="104"/>
      <c r="F40" s="104"/>
      <c r="G40" s="104"/>
      <c r="H40" s="108">
        <v>1</v>
      </c>
      <c r="I40" s="104"/>
    </row>
    <row r="41" spans="2:9" ht="15.75" thickBot="1" x14ac:dyDescent="0.3">
      <c r="B41" s="187" t="str">
        <v xml:space="preserve">Plástico transparente </v>
      </c>
      <c r="C41" s="107">
        <v>86400</v>
      </c>
      <c r="D41" s="104"/>
      <c r="E41" s="104"/>
      <c r="F41" s="104"/>
      <c r="G41" s="108">
        <v>1</v>
      </c>
      <c r="H41" s="104"/>
      <c r="I41" s="104"/>
    </row>
    <row r="42" spans="2:9" ht="15.75" thickBot="1" x14ac:dyDescent="0.3">
      <c r="B42" s="187" t="str">
        <v>Colorante Plástico</v>
      </c>
      <c r="C42" s="107">
        <v>1652</v>
      </c>
      <c r="D42" s="104"/>
      <c r="E42" s="104"/>
      <c r="F42" s="108">
        <v>1</v>
      </c>
      <c r="G42" s="104"/>
      <c r="H42" s="104"/>
      <c r="I42" s="104"/>
    </row>
    <row r="43" spans="2:9" ht="15.75" thickBot="1" x14ac:dyDescent="0.3">
      <c r="B43" s="187" t="str">
        <v>Liquido Galvanizador</v>
      </c>
      <c r="C43" s="107">
        <v>17500</v>
      </c>
      <c r="D43" s="104"/>
      <c r="E43" s="108">
        <v>1</v>
      </c>
      <c r="F43" s="104"/>
      <c r="G43" s="104"/>
      <c r="H43" s="104"/>
      <c r="I43" s="104"/>
    </row>
    <row r="44" spans="2:9" ht="15.75" thickBot="1" x14ac:dyDescent="0.3">
      <c r="B44" s="187" t="str">
        <v>Aditivos</v>
      </c>
      <c r="C44" s="107">
        <v>7000</v>
      </c>
      <c r="D44" s="108">
        <v>1</v>
      </c>
      <c r="E44" s="104"/>
      <c r="F44" s="104"/>
      <c r="G44" s="104"/>
      <c r="H44" s="104"/>
      <c r="I44" s="104"/>
    </row>
    <row r="45" spans="2:9" ht="15.75" thickBot="1" x14ac:dyDescent="0.3">
      <c r="B45" s="187" t="str">
        <v>Electricidad</v>
      </c>
      <c r="C45" s="107">
        <v>37596</v>
      </c>
      <c r="D45" s="108">
        <v>0.06</v>
      </c>
      <c r="E45" s="108">
        <v>0.18</v>
      </c>
      <c r="F45" s="108">
        <v>0.05</v>
      </c>
      <c r="G45" s="108">
        <v>0.2</v>
      </c>
      <c r="H45" s="108">
        <v>0.39</v>
      </c>
      <c r="I45" s="108">
        <v>0.12</v>
      </c>
    </row>
    <row r="46" spans="2:9" ht="15.75" thickBot="1" x14ac:dyDescent="0.3">
      <c r="B46" s="187" t="str">
        <v>Operarios (Sueldo+ Cargas sociales)</v>
      </c>
      <c r="C46" s="107">
        <v>260000</v>
      </c>
      <c r="D46" s="108">
        <v>0.06</v>
      </c>
      <c r="E46" s="108">
        <v>0.18</v>
      </c>
      <c r="F46" s="108">
        <v>0.05</v>
      </c>
      <c r="G46" s="108">
        <v>0.2</v>
      </c>
      <c r="H46" s="108">
        <v>0.51</v>
      </c>
      <c r="I46" s="104"/>
    </row>
    <row r="47" spans="2:9" ht="15.75" thickBot="1" x14ac:dyDescent="0.3">
      <c r="B47" s="106" t="str">
        <v>Amortización maquinaria</v>
      </c>
      <c r="C47" s="107">
        <v>165000</v>
      </c>
      <c r="D47" s="108">
        <v>0.06</v>
      </c>
      <c r="E47" s="108">
        <v>0.18</v>
      </c>
      <c r="F47" s="108">
        <v>0.05</v>
      </c>
      <c r="G47" s="108">
        <v>0.2</v>
      </c>
      <c r="H47" s="108">
        <v>0.39</v>
      </c>
      <c r="I47" s="108">
        <v>0.12</v>
      </c>
    </row>
    <row r="48" spans="2:9" ht="15.75" thickBot="1" x14ac:dyDescent="0.3">
      <c r="B48" s="106" t="str">
        <v>Cajas de cartón</v>
      </c>
      <c r="C48" s="107">
        <v>3000</v>
      </c>
      <c r="D48" s="104"/>
      <c r="E48" s="104"/>
      <c r="F48" s="104"/>
      <c r="G48" s="104"/>
      <c r="H48" s="104"/>
      <c r="I48" s="108">
        <v>1</v>
      </c>
    </row>
    <row r="49" spans="2:3" ht="15.75" thickBot="1" x14ac:dyDescent="0.3">
      <c r="B49" s="106" t="str">
        <v>Suma</v>
      </c>
      <c r="C49" s="107">
        <v>586788</v>
      </c>
    </row>
  </sheetData>
  <mergeCells count="5">
    <mergeCell ref="B37:I37"/>
    <mergeCell ref="D38:I38"/>
    <mergeCell ref="B2:D2"/>
    <mergeCell ref="B11:C11"/>
    <mergeCell ref="C25:H2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04"/>
  <sheetViews>
    <sheetView topLeftCell="A34" workbookViewId="0">
      <selection activeCell="M83" sqref="M83:P86"/>
    </sheetView>
  </sheetViews>
  <sheetFormatPr baseColWidth="10" defaultRowHeight="15" x14ac:dyDescent="0.25"/>
  <cols>
    <col min="1" max="1" width="26.28515625" customWidth="1"/>
    <col min="4" max="4" width="23.28515625" customWidth="1"/>
    <col min="10" max="10" width="11.85546875" bestFit="1" customWidth="1"/>
  </cols>
  <sheetData>
    <row r="1" spans="1:5" ht="23.25" hidden="1" thickBot="1" x14ac:dyDescent="0.3">
      <c r="A1" s="1" t="s">
        <v>0</v>
      </c>
      <c r="B1" s="2" t="s">
        <v>1</v>
      </c>
    </row>
    <row r="2" spans="1:5" ht="15.75" hidden="1" thickBot="1" x14ac:dyDescent="0.3">
      <c r="A2" s="3" t="s">
        <v>2</v>
      </c>
      <c r="B2" s="4" t="s">
        <v>3</v>
      </c>
    </row>
    <row r="3" spans="1:5" ht="15.75" hidden="1" thickBot="1" x14ac:dyDescent="0.3">
      <c r="A3" s="3" t="s">
        <v>4</v>
      </c>
      <c r="B3" s="4" t="s">
        <v>5</v>
      </c>
    </row>
    <row r="4" spans="1:5" ht="15.75" hidden="1" thickBot="1" x14ac:dyDescent="0.3">
      <c r="A4" s="3" t="s">
        <v>6</v>
      </c>
      <c r="B4" s="4" t="s">
        <v>7</v>
      </c>
    </row>
    <row r="5" spans="1:5" ht="15.75" hidden="1" thickBot="1" x14ac:dyDescent="0.3">
      <c r="A5" s="3" t="s">
        <v>8</v>
      </c>
      <c r="B5" s="4" t="s">
        <v>9</v>
      </c>
    </row>
    <row r="6" spans="1:5" ht="15.75" hidden="1" thickBot="1" x14ac:dyDescent="0.3">
      <c r="A6" s="3" t="s">
        <v>10</v>
      </c>
      <c r="B6" s="4" t="s">
        <v>11</v>
      </c>
    </row>
    <row r="7" spans="1:5" ht="15.75" hidden="1" thickBot="1" x14ac:dyDescent="0.3">
      <c r="A7" s="3" t="s">
        <v>12</v>
      </c>
      <c r="B7" s="4" t="s">
        <v>13</v>
      </c>
    </row>
    <row r="8" spans="1:5" ht="15.75" hidden="1" thickBot="1" x14ac:dyDescent="0.3">
      <c r="A8" s="3" t="s">
        <v>14</v>
      </c>
      <c r="B8" s="4" t="s">
        <v>15</v>
      </c>
    </row>
    <row r="9" spans="1:5" ht="15.75" hidden="1" thickBot="1" x14ac:dyDescent="0.3">
      <c r="A9" s="3" t="s">
        <v>16</v>
      </c>
      <c r="B9" s="4" t="s">
        <v>17</v>
      </c>
    </row>
    <row r="10" spans="1:5" hidden="1" x14ac:dyDescent="0.25"/>
    <row r="11" spans="1:5" hidden="1" x14ac:dyDescent="0.25"/>
    <row r="12" spans="1:5" ht="15.75" hidden="1" thickBot="1" x14ac:dyDescent="0.3"/>
    <row r="13" spans="1:5" ht="30.75" hidden="1" thickBot="1" x14ac:dyDescent="0.3">
      <c r="A13" s="5" t="s">
        <v>0</v>
      </c>
      <c r="B13" s="6" t="s">
        <v>18</v>
      </c>
      <c r="C13" s="7"/>
      <c r="D13" s="6"/>
      <c r="E13" s="6"/>
    </row>
    <row r="14" spans="1:5" ht="15.75" hidden="1" thickBot="1" x14ac:dyDescent="0.3">
      <c r="A14" s="8" t="s">
        <v>2</v>
      </c>
      <c r="B14" s="9">
        <v>150</v>
      </c>
      <c r="C14" s="7"/>
    </row>
    <row r="15" spans="1:5" ht="15.75" hidden="1" thickBot="1" x14ac:dyDescent="0.3">
      <c r="A15" s="8" t="s">
        <v>4</v>
      </c>
      <c r="B15" s="9">
        <v>100</v>
      </c>
      <c r="C15" s="7"/>
    </row>
    <row r="16" spans="1:5" ht="15.75" hidden="1" thickBot="1" x14ac:dyDescent="0.3">
      <c r="A16" s="8" t="s">
        <v>6</v>
      </c>
      <c r="B16" s="9">
        <v>120</v>
      </c>
      <c r="C16" s="7"/>
      <c r="D16" s="10"/>
      <c r="E16" s="9"/>
    </row>
    <row r="17" spans="1:11" ht="15.75" hidden="1" thickBot="1" x14ac:dyDescent="0.3">
      <c r="A17" s="8" t="s">
        <v>8</v>
      </c>
      <c r="B17" s="9">
        <v>300</v>
      </c>
      <c r="C17" s="11"/>
      <c r="D17" s="9"/>
      <c r="E17" s="9"/>
    </row>
    <row r="18" spans="1:11" ht="15.75" hidden="1" thickBot="1" x14ac:dyDescent="0.3">
      <c r="A18" s="8" t="s">
        <v>10</v>
      </c>
      <c r="B18" s="9">
        <v>450</v>
      </c>
      <c r="C18" s="7"/>
      <c r="D18" s="12"/>
      <c r="E18" s="13"/>
    </row>
    <row r="19" spans="1:11" ht="15.75" hidden="1" thickBot="1" x14ac:dyDescent="0.3">
      <c r="A19" s="10" t="s">
        <v>12</v>
      </c>
      <c r="B19" s="9">
        <v>160</v>
      </c>
    </row>
    <row r="20" spans="1:11" ht="15.75" hidden="1" thickBot="1" x14ac:dyDescent="0.3">
      <c r="A20" s="10" t="s">
        <v>14</v>
      </c>
      <c r="B20" s="9">
        <v>60</v>
      </c>
    </row>
    <row r="21" spans="1:11" ht="14.25" hidden="1" customHeight="1" x14ac:dyDescent="0.25">
      <c r="B21">
        <f>SUM(B14:B20)</f>
        <v>1340</v>
      </c>
    </row>
    <row r="22" spans="1:11" ht="15.75" thickBot="1" x14ac:dyDescent="0.3"/>
    <row r="23" spans="1:11" ht="26.25" thickBot="1" x14ac:dyDescent="0.3">
      <c r="A23" s="14" t="s">
        <v>19</v>
      </c>
      <c r="B23" s="15" t="s">
        <v>20</v>
      </c>
      <c r="D23" s="20" t="s">
        <v>30</v>
      </c>
      <c r="E23" s="21" t="s">
        <v>31</v>
      </c>
      <c r="F23" s="21" t="s">
        <v>32</v>
      </c>
      <c r="G23" s="21" t="s">
        <v>33</v>
      </c>
      <c r="H23" s="21" t="s">
        <v>34</v>
      </c>
      <c r="I23" s="21" t="s">
        <v>35</v>
      </c>
      <c r="J23" s="21" t="s">
        <v>36</v>
      </c>
      <c r="K23" s="21" t="s">
        <v>37</v>
      </c>
    </row>
    <row r="24" spans="1:11" ht="15.75" thickBot="1" x14ac:dyDescent="0.3">
      <c r="A24" s="16" t="s">
        <v>21</v>
      </c>
      <c r="B24" s="18">
        <v>8640</v>
      </c>
      <c r="D24" s="22" t="s">
        <v>21</v>
      </c>
      <c r="E24" s="24">
        <v>8640</v>
      </c>
      <c r="F24" s="27" t="str">
        <f>IF($E24*F40=0,"",$E24*F40)</f>
        <v/>
      </c>
      <c r="G24" s="27" t="str">
        <f t="shared" ref="G24:K24" si="0">IF($E24*G40=0,"",$E24*G40)</f>
        <v/>
      </c>
      <c r="H24" s="27" t="str">
        <f t="shared" si="0"/>
        <v/>
      </c>
      <c r="I24" s="27" t="str">
        <f t="shared" si="0"/>
        <v/>
      </c>
      <c r="J24" s="27">
        <f t="shared" si="0"/>
        <v>8640</v>
      </c>
      <c r="K24" s="27" t="str">
        <f t="shared" si="0"/>
        <v/>
      </c>
    </row>
    <row r="25" spans="1:11" ht="15.75" thickBot="1" x14ac:dyDescent="0.3">
      <c r="A25" s="19" t="s">
        <v>22</v>
      </c>
      <c r="B25" s="18">
        <v>86400</v>
      </c>
      <c r="D25" s="22" t="s">
        <v>38</v>
      </c>
      <c r="E25" s="24">
        <v>86400</v>
      </c>
      <c r="F25" s="27" t="str">
        <f t="shared" ref="F25:K32" si="1">IF($E25*F41=0,"",$E25*F41)</f>
        <v/>
      </c>
      <c r="G25" s="27" t="str">
        <f t="shared" si="1"/>
        <v/>
      </c>
      <c r="H25" s="27" t="str">
        <f t="shared" si="1"/>
        <v/>
      </c>
      <c r="I25" s="27">
        <f t="shared" si="1"/>
        <v>86400</v>
      </c>
      <c r="J25" s="27" t="str">
        <f t="shared" si="1"/>
        <v/>
      </c>
      <c r="K25" s="27" t="str">
        <f t="shared" si="1"/>
        <v/>
      </c>
    </row>
    <row r="26" spans="1:11" ht="15.75" thickBot="1" x14ac:dyDescent="0.3">
      <c r="A26" s="19" t="s">
        <v>23</v>
      </c>
      <c r="B26" s="18">
        <v>1652</v>
      </c>
      <c r="D26" s="22" t="s">
        <v>39</v>
      </c>
      <c r="E26" s="24">
        <v>1652.4</v>
      </c>
      <c r="F26" s="27" t="str">
        <f t="shared" si="1"/>
        <v/>
      </c>
      <c r="G26" s="27" t="str">
        <f t="shared" si="1"/>
        <v/>
      </c>
      <c r="H26" s="27">
        <f t="shared" si="1"/>
        <v>1652.4</v>
      </c>
      <c r="I26" s="27" t="str">
        <f t="shared" si="1"/>
        <v/>
      </c>
      <c r="J26" s="27" t="str">
        <f t="shared" si="1"/>
        <v/>
      </c>
      <c r="K26" s="27" t="str">
        <f t="shared" si="1"/>
        <v/>
      </c>
    </row>
    <row r="27" spans="1:11" ht="15.75" thickBot="1" x14ac:dyDescent="0.3">
      <c r="A27" s="19" t="s">
        <v>24</v>
      </c>
      <c r="B27" s="18">
        <v>17500</v>
      </c>
      <c r="D27" s="22" t="s">
        <v>40</v>
      </c>
      <c r="E27" s="24">
        <v>17500</v>
      </c>
      <c r="F27" s="27" t="str">
        <f t="shared" si="1"/>
        <v/>
      </c>
      <c r="G27" s="27">
        <f t="shared" si="1"/>
        <v>17500</v>
      </c>
      <c r="H27" s="27" t="str">
        <f t="shared" si="1"/>
        <v/>
      </c>
      <c r="I27" s="27" t="str">
        <f t="shared" si="1"/>
        <v/>
      </c>
      <c r="J27" s="27" t="str">
        <f t="shared" si="1"/>
        <v/>
      </c>
      <c r="K27" s="27" t="str">
        <f t="shared" si="1"/>
        <v/>
      </c>
    </row>
    <row r="28" spans="1:11" ht="15.75" thickBot="1" x14ac:dyDescent="0.3">
      <c r="A28" s="19" t="s">
        <v>25</v>
      </c>
      <c r="B28" s="18">
        <v>7000</v>
      </c>
      <c r="D28" s="22" t="s">
        <v>25</v>
      </c>
      <c r="E28" s="24">
        <v>7000</v>
      </c>
      <c r="F28" s="27">
        <f t="shared" si="1"/>
        <v>7000</v>
      </c>
      <c r="G28" s="27" t="str">
        <f t="shared" si="1"/>
        <v/>
      </c>
      <c r="H28" s="27" t="str">
        <f t="shared" si="1"/>
        <v/>
      </c>
      <c r="I28" s="27" t="str">
        <f t="shared" si="1"/>
        <v/>
      </c>
      <c r="J28" s="27" t="str">
        <f t="shared" si="1"/>
        <v/>
      </c>
      <c r="K28" s="27" t="str">
        <f t="shared" si="1"/>
        <v/>
      </c>
    </row>
    <row r="29" spans="1:11" ht="15.75" thickBot="1" x14ac:dyDescent="0.3">
      <c r="A29" s="19" t="s">
        <v>26</v>
      </c>
      <c r="B29" s="18">
        <v>37596</v>
      </c>
      <c r="D29" s="22" t="s">
        <v>26</v>
      </c>
      <c r="E29" s="24">
        <v>37596</v>
      </c>
      <c r="F29" s="27">
        <f t="shared" si="1"/>
        <v>2255.7599999999998</v>
      </c>
      <c r="G29" s="27">
        <f t="shared" si="1"/>
        <v>6767.28</v>
      </c>
      <c r="H29" s="27">
        <f t="shared" si="1"/>
        <v>1879.8000000000002</v>
      </c>
      <c r="I29" s="27">
        <f t="shared" si="1"/>
        <v>7519.2000000000007</v>
      </c>
      <c r="J29" s="27">
        <f t="shared" si="1"/>
        <v>14662.44</v>
      </c>
      <c r="K29" s="27">
        <f t="shared" si="1"/>
        <v>4511.5199999999995</v>
      </c>
    </row>
    <row r="30" spans="1:11" ht="60.75" thickBot="1" x14ac:dyDescent="0.3">
      <c r="A30" s="19" t="s">
        <v>27</v>
      </c>
      <c r="B30" s="18">
        <v>260000</v>
      </c>
      <c r="D30" s="25" t="s">
        <v>41</v>
      </c>
      <c r="E30" s="24">
        <v>260000</v>
      </c>
      <c r="F30" s="27">
        <f t="shared" si="1"/>
        <v>15600</v>
      </c>
      <c r="G30" s="27">
        <f t="shared" si="1"/>
        <v>46800</v>
      </c>
      <c r="H30" s="27">
        <f t="shared" si="1"/>
        <v>13000</v>
      </c>
      <c r="I30" s="27">
        <f t="shared" si="1"/>
        <v>52000</v>
      </c>
      <c r="J30" s="27">
        <f t="shared" si="1"/>
        <v>132600</v>
      </c>
      <c r="K30" s="27" t="str">
        <f t="shared" si="1"/>
        <v/>
      </c>
    </row>
    <row r="31" spans="1:11" ht="30.75" thickBot="1" x14ac:dyDescent="0.3">
      <c r="A31" s="19" t="s">
        <v>28</v>
      </c>
      <c r="B31" s="18">
        <v>165000</v>
      </c>
      <c r="D31" s="25" t="s">
        <v>28</v>
      </c>
      <c r="E31" s="24">
        <v>165000</v>
      </c>
      <c r="F31" s="27">
        <f t="shared" si="1"/>
        <v>9900</v>
      </c>
      <c r="G31" s="27">
        <f t="shared" si="1"/>
        <v>29700</v>
      </c>
      <c r="H31" s="27">
        <f t="shared" si="1"/>
        <v>8250</v>
      </c>
      <c r="I31" s="27">
        <f t="shared" si="1"/>
        <v>33000</v>
      </c>
      <c r="J31" s="27">
        <f t="shared" si="1"/>
        <v>64350</v>
      </c>
      <c r="K31" s="27">
        <f t="shared" si="1"/>
        <v>19800</v>
      </c>
    </row>
    <row r="32" spans="1:11" ht="15.75" thickBot="1" x14ac:dyDescent="0.3">
      <c r="A32" s="19" t="s">
        <v>29</v>
      </c>
      <c r="B32" s="18">
        <v>3000</v>
      </c>
      <c r="D32" s="22" t="s">
        <v>29</v>
      </c>
      <c r="E32" s="24">
        <v>3000</v>
      </c>
      <c r="F32" s="27" t="str">
        <f t="shared" si="1"/>
        <v/>
      </c>
      <c r="G32" s="27" t="str">
        <f t="shared" si="1"/>
        <v/>
      </c>
      <c r="H32" s="27" t="str">
        <f t="shared" si="1"/>
        <v/>
      </c>
      <c r="I32" s="27" t="str">
        <f t="shared" si="1"/>
        <v/>
      </c>
      <c r="J32" s="27" t="str">
        <f t="shared" si="1"/>
        <v/>
      </c>
      <c r="K32" s="27">
        <f t="shared" si="1"/>
        <v>3000</v>
      </c>
    </row>
    <row r="33" spans="2:12" ht="15.75" thickBot="1" x14ac:dyDescent="0.3">
      <c r="D33" s="22" t="s">
        <v>42</v>
      </c>
      <c r="E33" s="24">
        <f>SUM(E24:E32)</f>
        <v>586788.4</v>
      </c>
      <c r="F33" s="24">
        <f t="shared" ref="F33:K33" si="2">SUM(F24:F32)</f>
        <v>34755.760000000002</v>
      </c>
      <c r="G33" s="24">
        <f t="shared" si="2"/>
        <v>100767.28</v>
      </c>
      <c r="H33" s="24">
        <f t="shared" si="2"/>
        <v>24782.2</v>
      </c>
      <c r="I33" s="24">
        <f t="shared" si="2"/>
        <v>178919.2</v>
      </c>
      <c r="J33" s="24">
        <f t="shared" si="2"/>
        <v>220252.44</v>
      </c>
      <c r="K33" s="24">
        <f t="shared" si="2"/>
        <v>27311.52</v>
      </c>
    </row>
    <row r="34" spans="2:12" x14ac:dyDescent="0.25">
      <c r="B34" s="17">
        <f>SUM(B24:B33)</f>
        <v>586788</v>
      </c>
      <c r="E34" s="23">
        <f>SUM(E24:E32)</f>
        <v>586788.4</v>
      </c>
    </row>
    <row r="38" spans="2:12" x14ac:dyDescent="0.25">
      <c r="F38" t="s">
        <v>43</v>
      </c>
    </row>
    <row r="39" spans="2:12" x14ac:dyDescent="0.25">
      <c r="D39" t="s">
        <v>19</v>
      </c>
      <c r="E39" t="s">
        <v>44</v>
      </c>
      <c r="F39" t="s">
        <v>45</v>
      </c>
      <c r="G39" t="s">
        <v>46</v>
      </c>
      <c r="H39" t="s">
        <v>47</v>
      </c>
      <c r="I39" t="s">
        <v>48</v>
      </c>
      <c r="J39" t="s">
        <v>49</v>
      </c>
      <c r="K39" t="s">
        <v>50</v>
      </c>
    </row>
    <row r="40" spans="2:12" x14ac:dyDescent="0.25">
      <c r="D40" t="s">
        <v>51</v>
      </c>
      <c r="E40" s="23">
        <v>8640</v>
      </c>
      <c r="J40" s="26">
        <v>1</v>
      </c>
      <c r="L40" s="59">
        <f>SUM(F40:K40)</f>
        <v>1</v>
      </c>
    </row>
    <row r="41" spans="2:12" x14ac:dyDescent="0.25">
      <c r="D41" t="s">
        <v>52</v>
      </c>
      <c r="E41" s="23">
        <v>86400</v>
      </c>
      <c r="I41" s="26">
        <v>1</v>
      </c>
      <c r="L41" s="59">
        <f t="shared" ref="L41:L48" si="3">SUM(F41:K41)</f>
        <v>1</v>
      </c>
    </row>
    <row r="42" spans="2:12" x14ac:dyDescent="0.25">
      <c r="D42" t="s">
        <v>53</v>
      </c>
      <c r="E42" s="23">
        <v>1652.4</v>
      </c>
      <c r="H42" s="26">
        <v>1</v>
      </c>
      <c r="L42" s="59">
        <f t="shared" si="3"/>
        <v>1</v>
      </c>
    </row>
    <row r="43" spans="2:12" x14ac:dyDescent="0.25">
      <c r="D43" t="s">
        <v>54</v>
      </c>
      <c r="E43" s="23">
        <v>17500</v>
      </c>
      <c r="G43" s="26">
        <v>1</v>
      </c>
      <c r="L43" s="59">
        <f t="shared" si="3"/>
        <v>1</v>
      </c>
    </row>
    <row r="44" spans="2:12" x14ac:dyDescent="0.25">
      <c r="D44" t="s">
        <v>55</v>
      </c>
      <c r="E44" s="23">
        <v>7000</v>
      </c>
      <c r="F44" s="26">
        <v>1</v>
      </c>
      <c r="L44" s="59">
        <f t="shared" si="3"/>
        <v>1</v>
      </c>
    </row>
    <row r="45" spans="2:12" x14ac:dyDescent="0.25">
      <c r="D45" t="s">
        <v>56</v>
      </c>
      <c r="E45" s="23">
        <v>37596</v>
      </c>
      <c r="F45" s="26">
        <v>0.06</v>
      </c>
      <c r="G45" s="26">
        <v>0.18</v>
      </c>
      <c r="H45" s="26">
        <v>0.05</v>
      </c>
      <c r="I45" s="26">
        <v>0.2</v>
      </c>
      <c r="J45" s="26">
        <v>0.39</v>
      </c>
      <c r="K45" s="26">
        <v>0.12</v>
      </c>
      <c r="L45" s="59">
        <f t="shared" si="3"/>
        <v>1</v>
      </c>
    </row>
    <row r="46" spans="2:12" x14ac:dyDescent="0.25">
      <c r="D46" t="s">
        <v>57</v>
      </c>
      <c r="E46" s="23">
        <v>260000</v>
      </c>
      <c r="F46" s="26">
        <v>0.06</v>
      </c>
      <c r="G46" s="26">
        <v>0.18</v>
      </c>
      <c r="H46" s="26">
        <v>0.05</v>
      </c>
      <c r="I46" s="26">
        <v>0.2</v>
      </c>
      <c r="J46" s="26">
        <v>0.51</v>
      </c>
      <c r="L46" s="59">
        <f t="shared" si="3"/>
        <v>1</v>
      </c>
    </row>
    <row r="47" spans="2:12" x14ac:dyDescent="0.25">
      <c r="D47" t="s">
        <v>28</v>
      </c>
      <c r="E47" s="23">
        <v>165000</v>
      </c>
      <c r="F47" s="26">
        <v>0.06</v>
      </c>
      <c r="G47" s="26">
        <v>0.18</v>
      </c>
      <c r="H47" s="26">
        <v>0.05</v>
      </c>
      <c r="I47" s="26">
        <v>0.2</v>
      </c>
      <c r="J47" s="26">
        <v>0.39</v>
      </c>
      <c r="K47" s="26">
        <v>0.12</v>
      </c>
      <c r="L47" s="59">
        <f t="shared" si="3"/>
        <v>1</v>
      </c>
    </row>
    <row r="48" spans="2:12" x14ac:dyDescent="0.25">
      <c r="D48" t="s">
        <v>29</v>
      </c>
      <c r="E48" s="23">
        <v>3000</v>
      </c>
      <c r="K48" s="26">
        <v>1</v>
      </c>
      <c r="L48" s="59">
        <f t="shared" si="3"/>
        <v>1</v>
      </c>
    </row>
    <row r="49" spans="4:11" x14ac:dyDescent="0.25">
      <c r="E49" s="23">
        <f>SUM(E40:E48)</f>
        <v>586788.4</v>
      </c>
    </row>
    <row r="51" spans="4:11" ht="15.75" thickBot="1" x14ac:dyDescent="0.3"/>
    <row r="52" spans="4:11" ht="15.75" thickBot="1" x14ac:dyDescent="0.3">
      <c r="D52" s="20" t="s">
        <v>30</v>
      </c>
      <c r="E52" s="21" t="s">
        <v>31</v>
      </c>
      <c r="F52" s="21" t="s">
        <v>32</v>
      </c>
      <c r="G52" s="21" t="s">
        <v>33</v>
      </c>
      <c r="H52" s="21" t="s">
        <v>34</v>
      </c>
      <c r="I52" s="21" t="s">
        <v>35</v>
      </c>
      <c r="J52" s="21" t="s">
        <v>36</v>
      </c>
      <c r="K52" s="21" t="s">
        <v>37</v>
      </c>
    </row>
    <row r="53" spans="4:11" ht="15.75" thickBot="1" x14ac:dyDescent="0.3">
      <c r="D53" s="22" t="s">
        <v>21</v>
      </c>
      <c r="E53" s="24">
        <v>8640</v>
      </c>
      <c r="F53" s="28" t="str">
        <f>IFERROR(IF(F24/F$33=0,"",F24/F$33),"")</f>
        <v/>
      </c>
      <c r="G53" s="28" t="str">
        <f t="shared" ref="G53:K53" si="4">IFERROR(IF(G24/G$33=0,"",G24/G$33),"")</f>
        <v/>
      </c>
      <c r="H53" s="28" t="str">
        <f t="shared" si="4"/>
        <v/>
      </c>
      <c r="I53" s="28" t="str">
        <f t="shared" si="4"/>
        <v/>
      </c>
      <c r="J53" s="28">
        <f t="shared" si="4"/>
        <v>3.9227715252552933E-2</v>
      </c>
      <c r="K53" s="28" t="str">
        <f t="shared" si="4"/>
        <v/>
      </c>
    </row>
    <row r="54" spans="4:11" ht="15.75" thickBot="1" x14ac:dyDescent="0.3">
      <c r="D54" s="22" t="s">
        <v>38</v>
      </c>
      <c r="E54" s="24">
        <v>86400</v>
      </c>
      <c r="F54" s="28" t="str">
        <f t="shared" ref="F54:K62" si="5">IFERROR(IF(F25/F$33=0,"",F25/F$33),"")</f>
        <v/>
      </c>
      <c r="G54" s="28" t="str">
        <f t="shared" si="5"/>
        <v/>
      </c>
      <c r="H54" s="28" t="str">
        <f t="shared" si="5"/>
        <v/>
      </c>
      <c r="I54" s="28">
        <f t="shared" si="5"/>
        <v>0.48289954348107972</v>
      </c>
      <c r="J54" s="28" t="str">
        <f t="shared" si="5"/>
        <v/>
      </c>
      <c r="K54" s="28" t="str">
        <f t="shared" si="5"/>
        <v/>
      </c>
    </row>
    <row r="55" spans="4:11" ht="15.75" thickBot="1" x14ac:dyDescent="0.3">
      <c r="D55" s="22" t="s">
        <v>39</v>
      </c>
      <c r="E55" s="24">
        <v>1652.4</v>
      </c>
      <c r="F55" s="28" t="str">
        <f t="shared" si="5"/>
        <v/>
      </c>
      <c r="G55" s="28" t="str">
        <f t="shared" si="5"/>
        <v/>
      </c>
      <c r="H55" s="28">
        <f t="shared" si="5"/>
        <v>6.6676889057468672E-2</v>
      </c>
      <c r="I55" s="28" t="str">
        <f t="shared" si="5"/>
        <v/>
      </c>
      <c r="J55" s="28" t="str">
        <f t="shared" si="5"/>
        <v/>
      </c>
      <c r="K55" s="28" t="str">
        <f t="shared" si="5"/>
        <v/>
      </c>
    </row>
    <row r="56" spans="4:11" ht="15.75" thickBot="1" x14ac:dyDescent="0.3">
      <c r="D56" s="22" t="s">
        <v>40</v>
      </c>
      <c r="E56" s="24">
        <v>17500</v>
      </c>
      <c r="F56" s="28" t="str">
        <f t="shared" si="5"/>
        <v/>
      </c>
      <c r="G56" s="28">
        <f t="shared" si="5"/>
        <v>0.17366748412778435</v>
      </c>
      <c r="H56" s="28" t="str">
        <f t="shared" si="5"/>
        <v/>
      </c>
      <c r="I56" s="28" t="str">
        <f t="shared" si="5"/>
        <v/>
      </c>
      <c r="J56" s="28" t="str">
        <f t="shared" si="5"/>
        <v/>
      </c>
      <c r="K56" s="28" t="str">
        <f t="shared" si="5"/>
        <v/>
      </c>
    </row>
    <row r="57" spans="4:11" ht="15.75" thickBot="1" x14ac:dyDescent="0.3">
      <c r="D57" s="22" t="s">
        <v>25</v>
      </c>
      <c r="E57" s="24">
        <v>7000</v>
      </c>
      <c r="F57" s="28">
        <f t="shared" si="5"/>
        <v>0.20140546487833957</v>
      </c>
      <c r="G57" s="28" t="str">
        <f t="shared" si="5"/>
        <v/>
      </c>
      <c r="H57" s="28" t="str">
        <f t="shared" si="5"/>
        <v/>
      </c>
      <c r="I57" s="28" t="str">
        <f t="shared" si="5"/>
        <v/>
      </c>
      <c r="J57" s="28" t="str">
        <f t="shared" si="5"/>
        <v/>
      </c>
      <c r="K57" s="28" t="str">
        <f t="shared" si="5"/>
        <v/>
      </c>
    </row>
    <row r="58" spans="4:11" ht="15.75" thickBot="1" x14ac:dyDescent="0.3">
      <c r="D58" s="22" t="s">
        <v>26</v>
      </c>
      <c r="E58" s="24">
        <v>37596</v>
      </c>
      <c r="F58" s="28">
        <f t="shared" si="5"/>
        <v>6.4903198779137611E-2</v>
      </c>
      <c r="G58" s="28">
        <f t="shared" si="5"/>
        <v>6.7157513827901277E-2</v>
      </c>
      <c r="H58" s="28">
        <f t="shared" si="5"/>
        <v>7.5852829853685313E-2</v>
      </c>
      <c r="I58" s="28">
        <f t="shared" si="5"/>
        <v>4.2025674159061749E-2</v>
      </c>
      <c r="J58" s="28">
        <f t="shared" si="5"/>
        <v>6.6571067271717854E-2</v>
      </c>
      <c r="K58" s="28">
        <f t="shared" si="5"/>
        <v>0.16518743738905778</v>
      </c>
    </row>
    <row r="59" spans="4:11" ht="30.75" thickBot="1" x14ac:dyDescent="0.3">
      <c r="D59" s="25" t="s">
        <v>41</v>
      </c>
      <c r="E59" s="24">
        <v>260000</v>
      </c>
      <c r="F59" s="28">
        <f t="shared" si="5"/>
        <v>0.4488464645860139</v>
      </c>
      <c r="G59" s="28">
        <f t="shared" si="5"/>
        <v>0.46443647183887471</v>
      </c>
      <c r="H59" s="28">
        <f t="shared" si="5"/>
        <v>0.52457005431317638</v>
      </c>
      <c r="I59" s="28">
        <f t="shared" si="5"/>
        <v>0.29063398450250166</v>
      </c>
      <c r="J59" s="28">
        <f t="shared" si="5"/>
        <v>0.60203646325098603</v>
      </c>
      <c r="K59" s="28" t="str">
        <f t="shared" si="5"/>
        <v/>
      </c>
    </row>
    <row r="60" spans="4:11" ht="30.75" thickBot="1" x14ac:dyDescent="0.3">
      <c r="D60" s="25" t="s">
        <v>28</v>
      </c>
      <c r="E60" s="24">
        <v>165000</v>
      </c>
      <c r="F60" s="28">
        <f t="shared" si="5"/>
        <v>0.28484487175650886</v>
      </c>
      <c r="G60" s="28">
        <f t="shared" si="5"/>
        <v>0.29473853020543972</v>
      </c>
      <c r="H60" s="28">
        <f t="shared" si="5"/>
        <v>0.33290022677566961</v>
      </c>
      <c r="I60" s="28">
        <f t="shared" si="5"/>
        <v>0.18444079785735684</v>
      </c>
      <c r="J60" s="28">
        <f t="shared" si="5"/>
        <v>0.2921647542247432</v>
      </c>
      <c r="K60" s="28">
        <f t="shared" si="5"/>
        <v>0.72496880437266031</v>
      </c>
    </row>
    <row r="61" spans="4:11" ht="15.75" thickBot="1" x14ac:dyDescent="0.3">
      <c r="D61" s="22" t="s">
        <v>29</v>
      </c>
      <c r="E61" s="24">
        <v>3000</v>
      </c>
      <c r="F61" s="28" t="str">
        <f t="shared" si="5"/>
        <v/>
      </c>
      <c r="G61" s="28" t="str">
        <f t="shared" si="5"/>
        <v/>
      </c>
      <c r="H61" s="28" t="str">
        <f t="shared" si="5"/>
        <v/>
      </c>
      <c r="I61" s="28" t="str">
        <f t="shared" si="5"/>
        <v/>
      </c>
      <c r="J61" s="28" t="str">
        <f t="shared" si="5"/>
        <v/>
      </c>
      <c r="K61" s="28">
        <f t="shared" si="5"/>
        <v>0.10984375823828187</v>
      </c>
    </row>
    <row r="62" spans="4:11" ht="15.75" thickBot="1" x14ac:dyDescent="0.3">
      <c r="D62" s="22" t="s">
        <v>42</v>
      </c>
      <c r="E62" s="24">
        <f>SUM(E53:E61)</f>
        <v>586788.4</v>
      </c>
      <c r="F62" s="28">
        <f t="shared" si="5"/>
        <v>1</v>
      </c>
      <c r="G62" s="28">
        <f t="shared" si="5"/>
        <v>1</v>
      </c>
      <c r="H62" s="28">
        <f t="shared" si="5"/>
        <v>1</v>
      </c>
      <c r="I62" s="28">
        <f t="shared" si="5"/>
        <v>1</v>
      </c>
      <c r="J62" s="28">
        <f t="shared" si="5"/>
        <v>1</v>
      </c>
      <c r="K62" s="28">
        <f t="shared" si="5"/>
        <v>1</v>
      </c>
    </row>
    <row r="63" spans="4:11" x14ac:dyDescent="0.25">
      <c r="F63" s="36">
        <f>F33/$E$33</f>
        <v>5.9230482402174274E-2</v>
      </c>
      <c r="G63" s="36">
        <f t="shared" ref="G63:K63" si="6">G33/$E$33</f>
        <v>0.1717267757849337</v>
      </c>
      <c r="H63" s="36">
        <f t="shared" si="6"/>
        <v>4.2233622886887333E-2</v>
      </c>
      <c r="I63" s="36">
        <f t="shared" si="6"/>
        <v>0.30491263971816757</v>
      </c>
      <c r="J63" s="36">
        <f t="shared" si="6"/>
        <v>0.3753524098295058</v>
      </c>
      <c r="K63" s="36">
        <f t="shared" si="6"/>
        <v>4.654406937833127E-2</v>
      </c>
    </row>
    <row r="68" spans="4:18" ht="15.75" thickBot="1" x14ac:dyDescent="0.3"/>
    <row r="69" spans="4:18" ht="39" thickBot="1" x14ac:dyDescent="0.3">
      <c r="D69" s="29" t="s">
        <v>43</v>
      </c>
      <c r="E69" s="30" t="s">
        <v>58</v>
      </c>
      <c r="F69" s="30" t="s">
        <v>59</v>
      </c>
      <c r="G69" s="30" t="s">
        <v>60</v>
      </c>
      <c r="H69" s="30" t="s">
        <v>61</v>
      </c>
    </row>
    <row r="70" spans="4:18" ht="39" thickBot="1" x14ac:dyDescent="0.3">
      <c r="D70" s="31" t="s">
        <v>45</v>
      </c>
      <c r="E70" s="32" t="s">
        <v>62</v>
      </c>
      <c r="F70" s="33">
        <v>506.04</v>
      </c>
      <c r="G70" s="34">
        <v>34755.760000000002</v>
      </c>
      <c r="H70" s="60">
        <f>G70/F70</f>
        <v>68.681843332542883</v>
      </c>
      <c r="I70">
        <f>G70/F70</f>
        <v>68.681843332542883</v>
      </c>
      <c r="J70" t="b">
        <f>H70=I70</f>
        <v>1</v>
      </c>
      <c r="K70">
        <v>34755.760000000002</v>
      </c>
    </row>
    <row r="71" spans="4:18" ht="15.75" thickBot="1" x14ac:dyDescent="0.3">
      <c r="D71" s="31" t="s">
        <v>46</v>
      </c>
      <c r="E71" s="35" t="s">
        <v>63</v>
      </c>
      <c r="F71" s="34">
        <v>84340</v>
      </c>
      <c r="G71" s="34">
        <v>100767.28</v>
      </c>
      <c r="H71" s="60">
        <f t="shared" ref="H71:H75" si="7">G71/F71</f>
        <v>1.1947744842304957</v>
      </c>
      <c r="I71">
        <f t="shared" ref="I71:I75" si="8">G71/F71</f>
        <v>1.1947744842304957</v>
      </c>
      <c r="J71" t="b">
        <f t="shared" ref="J71:J75" si="9">H71=I71</f>
        <v>1</v>
      </c>
      <c r="K71">
        <v>100767.28</v>
      </c>
    </row>
    <row r="72" spans="4:18" ht="15.75" thickBot="1" x14ac:dyDescent="0.3">
      <c r="D72" s="31" t="s">
        <v>47</v>
      </c>
      <c r="E72" s="35" t="s">
        <v>64</v>
      </c>
      <c r="F72" s="33">
        <v>727.8</v>
      </c>
      <c r="G72" s="34">
        <v>24782.2</v>
      </c>
      <c r="H72" s="60">
        <f t="shared" si="7"/>
        <v>34.050838142346805</v>
      </c>
      <c r="I72">
        <f t="shared" si="8"/>
        <v>34.050838142346805</v>
      </c>
      <c r="J72" t="b">
        <f t="shared" si="9"/>
        <v>1</v>
      </c>
      <c r="K72">
        <v>24782.2</v>
      </c>
    </row>
    <row r="73" spans="4:18" ht="15.75" thickBot="1" x14ac:dyDescent="0.3">
      <c r="D73" s="31" t="s">
        <v>48</v>
      </c>
      <c r="E73" s="35" t="s">
        <v>63</v>
      </c>
      <c r="F73" s="34">
        <v>363900</v>
      </c>
      <c r="G73" s="34">
        <v>178919.2</v>
      </c>
      <c r="H73" s="60">
        <f t="shared" si="7"/>
        <v>0.49167133827974724</v>
      </c>
      <c r="I73">
        <f t="shared" si="8"/>
        <v>0.49167133827974724</v>
      </c>
      <c r="J73" t="b">
        <f t="shared" si="9"/>
        <v>1</v>
      </c>
      <c r="K73">
        <v>178919.2</v>
      </c>
    </row>
    <row r="74" spans="4:18" ht="15.75" thickBot="1" x14ac:dyDescent="0.3">
      <c r="D74" s="31" t="s">
        <v>49</v>
      </c>
      <c r="E74" s="35" t="s">
        <v>63</v>
      </c>
      <c r="F74" s="34">
        <v>448240</v>
      </c>
      <c r="G74" s="34">
        <v>220252.44</v>
      </c>
      <c r="H74" s="60">
        <f t="shared" si="7"/>
        <v>0.49137167588791719</v>
      </c>
      <c r="I74">
        <f t="shared" si="8"/>
        <v>0.49137167588791719</v>
      </c>
      <c r="J74" t="b">
        <f t="shared" si="9"/>
        <v>1</v>
      </c>
      <c r="K74">
        <v>220252.44</v>
      </c>
    </row>
    <row r="75" spans="4:18" ht="15.75" thickBot="1" x14ac:dyDescent="0.3">
      <c r="D75" s="31" t="s">
        <v>50</v>
      </c>
      <c r="E75" s="35" t="s">
        <v>65</v>
      </c>
      <c r="F75" s="34">
        <v>44824</v>
      </c>
      <c r="G75" s="34">
        <v>27311.52</v>
      </c>
      <c r="H75" s="60">
        <f t="shared" si="7"/>
        <v>0.6093057290737105</v>
      </c>
      <c r="I75">
        <f t="shared" si="8"/>
        <v>0.6093057290737105</v>
      </c>
      <c r="J75" t="b">
        <f t="shared" si="9"/>
        <v>1</v>
      </c>
      <c r="K75">
        <v>27311.52</v>
      </c>
    </row>
    <row r="76" spans="4:18" x14ac:dyDescent="0.25">
      <c r="G76" s="23">
        <f>SUM(G70:G75)</f>
        <v>586788.40000000014</v>
      </c>
    </row>
    <row r="78" spans="4:18" ht="15.75" thickBot="1" x14ac:dyDescent="0.3"/>
    <row r="79" spans="4:18" ht="15.75" thickBot="1" x14ac:dyDescent="0.3">
      <c r="D79" s="37">
        <v>0</v>
      </c>
      <c r="E79" s="203" t="s">
        <v>66</v>
      </c>
      <c r="F79" s="204"/>
      <c r="G79" s="204"/>
      <c r="H79" s="204"/>
      <c r="I79" s="204"/>
      <c r="J79" s="205"/>
    </row>
    <row r="80" spans="4:18" ht="15.75" thickBot="1" x14ac:dyDescent="0.3">
      <c r="D80" s="38">
        <v>0</v>
      </c>
      <c r="E80" s="39" t="s">
        <v>67</v>
      </c>
      <c r="F80" s="40" t="s">
        <v>68</v>
      </c>
      <c r="G80" s="40" t="s">
        <v>69</v>
      </c>
      <c r="H80" s="40" t="s">
        <v>70</v>
      </c>
      <c r="I80" s="40" t="s">
        <v>71</v>
      </c>
      <c r="J80" s="40" t="s">
        <v>72</v>
      </c>
      <c r="L80" s="37">
        <v>0</v>
      </c>
      <c r="M80" s="203" t="s">
        <v>66</v>
      </c>
      <c r="N80" s="204"/>
      <c r="O80" s="204"/>
      <c r="P80" s="204"/>
      <c r="Q80" s="204"/>
      <c r="R80" s="205"/>
    </row>
    <row r="81" spans="4:18" ht="34.5" thickBot="1" x14ac:dyDescent="0.3">
      <c r="D81" s="41" t="s">
        <v>73</v>
      </c>
      <c r="E81" s="42" t="s">
        <v>74</v>
      </c>
      <c r="F81" s="42" t="s">
        <v>75</v>
      </c>
      <c r="G81" s="42" t="s">
        <v>76</v>
      </c>
      <c r="H81" s="42" t="s">
        <v>75</v>
      </c>
      <c r="I81" s="42" t="s">
        <v>75</v>
      </c>
      <c r="J81" s="42" t="s">
        <v>77</v>
      </c>
      <c r="L81" s="38">
        <v>0</v>
      </c>
      <c r="M81" s="39" t="s">
        <v>67</v>
      </c>
      <c r="N81" s="40" t="s">
        <v>68</v>
      </c>
      <c r="O81" s="40" t="s">
        <v>69</v>
      </c>
      <c r="P81" s="40" t="s">
        <v>70</v>
      </c>
      <c r="Q81" s="40" t="s">
        <v>71</v>
      </c>
      <c r="R81" s="40" t="s">
        <v>72</v>
      </c>
    </row>
    <row r="82" spans="4:18" ht="34.5" thickBot="1" x14ac:dyDescent="0.3">
      <c r="D82" s="41" t="s">
        <v>78</v>
      </c>
      <c r="E82" s="43">
        <v>252.93</v>
      </c>
      <c r="F82" s="44">
        <v>42155</v>
      </c>
      <c r="G82" s="45"/>
      <c r="H82" s="45"/>
      <c r="I82" s="44">
        <v>52886.9</v>
      </c>
      <c r="J82" s="44">
        <v>5288.69</v>
      </c>
      <c r="L82" s="41" t="s">
        <v>73</v>
      </c>
      <c r="M82" s="42" t="s">
        <v>74</v>
      </c>
      <c r="N82" s="42" t="s">
        <v>75</v>
      </c>
      <c r="O82" s="42" t="s">
        <v>76</v>
      </c>
      <c r="P82" s="42" t="s">
        <v>75</v>
      </c>
      <c r="Q82" s="42" t="s">
        <v>75</v>
      </c>
      <c r="R82" s="42" t="s">
        <v>77</v>
      </c>
    </row>
    <row r="83" spans="4:18" ht="15.75" thickBot="1" x14ac:dyDescent="0.3">
      <c r="D83" s="41" t="s">
        <v>79</v>
      </c>
      <c r="E83" s="43">
        <v>253.11</v>
      </c>
      <c r="F83" s="44">
        <v>42185</v>
      </c>
      <c r="G83" s="45"/>
      <c r="H83" s="45"/>
      <c r="I83" s="44">
        <v>52924.54</v>
      </c>
      <c r="J83" s="44">
        <v>5292.45</v>
      </c>
      <c r="L83" s="41" t="s">
        <v>78</v>
      </c>
      <c r="M83" s="43">
        <v>252.93</v>
      </c>
      <c r="N83" s="44">
        <v>42150</v>
      </c>
      <c r="O83" s="45"/>
      <c r="P83" s="45"/>
      <c r="Q83" s="44">
        <f>N83</f>
        <v>42150</v>
      </c>
      <c r="R83" s="44">
        <f>Q83/10</f>
        <v>4215</v>
      </c>
    </row>
    <row r="84" spans="4:18" ht="15.75" thickBot="1" x14ac:dyDescent="0.3">
      <c r="D84" s="41" t="s">
        <v>80</v>
      </c>
      <c r="E84" s="45"/>
      <c r="F84" s="45"/>
      <c r="G84" s="43">
        <v>363.9</v>
      </c>
      <c r="H84" s="44">
        <v>181950</v>
      </c>
      <c r="I84" s="44">
        <v>171214.28</v>
      </c>
      <c r="J84" s="44">
        <v>17121.43</v>
      </c>
      <c r="L84" s="41" t="s">
        <v>79</v>
      </c>
      <c r="M84" s="43">
        <v>253.11</v>
      </c>
      <c r="N84" s="44">
        <v>42190</v>
      </c>
      <c r="O84" s="45"/>
      <c r="P84" s="45"/>
      <c r="Q84" s="44">
        <f>N84</f>
        <v>42190</v>
      </c>
      <c r="R84" s="44">
        <f t="shared" ref="R84:R86" si="10">Q84/10</f>
        <v>4219</v>
      </c>
    </row>
    <row r="85" spans="4:18" ht="15.75" thickBot="1" x14ac:dyDescent="0.3">
      <c r="D85" s="41" t="s">
        <v>81</v>
      </c>
      <c r="E85" s="45"/>
      <c r="F85" s="45"/>
      <c r="G85" s="43">
        <v>363.9</v>
      </c>
      <c r="H85" s="44">
        <v>181950</v>
      </c>
      <c r="I85" s="44">
        <v>171214.28</v>
      </c>
      <c r="J85" s="44">
        <v>17121.43</v>
      </c>
      <c r="L85" s="41" t="s">
        <v>80</v>
      </c>
      <c r="M85" s="45"/>
      <c r="N85" s="45"/>
      <c r="O85" s="43">
        <v>363.9</v>
      </c>
      <c r="P85" s="44">
        <v>181950</v>
      </c>
      <c r="Q85" s="44">
        <f>P85</f>
        <v>181950</v>
      </c>
      <c r="R85" s="44">
        <f t="shared" si="10"/>
        <v>18195</v>
      </c>
    </row>
    <row r="86" spans="4:18" ht="15.75" thickBot="1" x14ac:dyDescent="0.3">
      <c r="D86" s="46" t="s">
        <v>82</v>
      </c>
      <c r="E86" s="47">
        <v>506.04</v>
      </c>
      <c r="F86" s="48">
        <v>84340</v>
      </c>
      <c r="G86" s="47">
        <v>727.8</v>
      </c>
      <c r="H86" s="48">
        <v>363900</v>
      </c>
      <c r="I86" s="48">
        <v>448240</v>
      </c>
      <c r="J86" s="48">
        <v>44824</v>
      </c>
      <c r="L86" s="41" t="s">
        <v>81</v>
      </c>
      <c r="M86" s="45"/>
      <c r="N86" s="45"/>
      <c r="O86" s="43">
        <v>363.9</v>
      </c>
      <c r="P86" s="44">
        <v>181950</v>
      </c>
      <c r="Q86" s="44">
        <f>P86</f>
        <v>181950</v>
      </c>
      <c r="R86" s="44">
        <f t="shared" si="10"/>
        <v>18195</v>
      </c>
    </row>
    <row r="87" spans="4:18" ht="15.75" thickBot="1" x14ac:dyDescent="0.3">
      <c r="L87" s="46" t="s">
        <v>82</v>
      </c>
      <c r="M87" s="57">
        <f>SUM(M83:M86)</f>
        <v>506.04</v>
      </c>
      <c r="N87" s="57">
        <f t="shared" ref="N87:R87" si="11">SUM(N83:N86)</f>
        <v>84340</v>
      </c>
      <c r="O87" s="57">
        <f t="shared" si="11"/>
        <v>727.8</v>
      </c>
      <c r="P87" s="57">
        <f t="shared" si="11"/>
        <v>363900</v>
      </c>
      <c r="Q87" s="57">
        <f t="shared" si="11"/>
        <v>448240</v>
      </c>
      <c r="R87" s="57">
        <f t="shared" si="11"/>
        <v>44824</v>
      </c>
    </row>
    <row r="88" spans="4:18" ht="15.75" thickBot="1" x14ac:dyDescent="0.3"/>
    <row r="89" spans="4:18" ht="15.75" thickBot="1" x14ac:dyDescent="0.3">
      <c r="D89" s="37">
        <v>0</v>
      </c>
      <c r="E89" s="203" t="s">
        <v>66</v>
      </c>
      <c r="F89" s="204"/>
      <c r="G89" s="204"/>
      <c r="H89" s="204"/>
      <c r="I89" s="204"/>
      <c r="J89" s="205"/>
    </row>
    <row r="90" spans="4:18" ht="15.75" thickBot="1" x14ac:dyDescent="0.3">
      <c r="D90" s="38">
        <v>0</v>
      </c>
      <c r="E90" s="39" t="s">
        <v>67</v>
      </c>
      <c r="F90" s="40" t="s">
        <v>68</v>
      </c>
      <c r="G90" s="40" t="s">
        <v>69</v>
      </c>
      <c r="H90" s="40" t="s">
        <v>70</v>
      </c>
      <c r="I90" s="40" t="s">
        <v>71</v>
      </c>
      <c r="J90" s="40" t="s">
        <v>72</v>
      </c>
    </row>
    <row r="91" spans="4:18" ht="34.5" thickBot="1" x14ac:dyDescent="0.3">
      <c r="D91" s="41" t="s">
        <v>73</v>
      </c>
      <c r="E91" s="42" t="s">
        <v>74</v>
      </c>
      <c r="F91" s="42" t="s">
        <v>75</v>
      </c>
      <c r="G91" s="42" t="s">
        <v>76</v>
      </c>
      <c r="H91" s="42" t="s">
        <v>75</v>
      </c>
      <c r="I91" s="42" t="s">
        <v>75</v>
      </c>
      <c r="J91" s="42" t="s">
        <v>77</v>
      </c>
    </row>
    <row r="92" spans="4:18" ht="15.75" thickBot="1" x14ac:dyDescent="0.3">
      <c r="D92" s="41" t="s">
        <v>78</v>
      </c>
      <c r="E92" s="49">
        <f>IF(E82/E$86=0,"",E82/E$86)</f>
        <v>0.49982214844676309</v>
      </c>
      <c r="F92" s="49">
        <f t="shared" ref="F92:J92" si="12">IF(F82/F$86=0,"",F82/F$86)</f>
        <v>0.49982214844676309</v>
      </c>
      <c r="G92" s="49" t="str">
        <f t="shared" si="12"/>
        <v/>
      </c>
      <c r="H92" s="49" t="str">
        <f t="shared" si="12"/>
        <v/>
      </c>
      <c r="I92" s="49">
        <f t="shared" si="12"/>
        <v>0.11798790826343031</v>
      </c>
      <c r="J92" s="49">
        <f t="shared" si="12"/>
        <v>0.11798790826343029</v>
      </c>
    </row>
    <row r="93" spans="4:18" ht="15.75" thickBot="1" x14ac:dyDescent="0.3">
      <c r="D93" s="41" t="s">
        <v>79</v>
      </c>
      <c r="E93" s="49">
        <f t="shared" ref="E93:J96" si="13">IF(E83/E$86=0,"",E83/E$86)</f>
        <v>0.50017785155323691</v>
      </c>
      <c r="F93" s="49">
        <f t="shared" si="13"/>
        <v>0.50017785155323691</v>
      </c>
      <c r="G93" s="49" t="str">
        <f t="shared" si="13"/>
        <v/>
      </c>
      <c r="H93" s="49" t="str">
        <f t="shared" si="13"/>
        <v/>
      </c>
      <c r="I93" s="49">
        <f t="shared" si="13"/>
        <v>0.11807188113510619</v>
      </c>
      <c r="J93" s="49">
        <f t="shared" si="13"/>
        <v>0.11807179189719792</v>
      </c>
    </row>
    <row r="94" spans="4:18" ht="15.75" thickBot="1" x14ac:dyDescent="0.3">
      <c r="D94" s="41" t="s">
        <v>80</v>
      </c>
      <c r="E94" s="49" t="str">
        <f t="shared" si="13"/>
        <v/>
      </c>
      <c r="F94" s="49" t="str">
        <f t="shared" si="13"/>
        <v/>
      </c>
      <c r="G94" s="49">
        <f t="shared" si="13"/>
        <v>0.5</v>
      </c>
      <c r="H94" s="49">
        <f t="shared" si="13"/>
        <v>0.5</v>
      </c>
      <c r="I94" s="49">
        <f t="shared" si="13"/>
        <v>0.38197010530073172</v>
      </c>
      <c r="J94" s="49">
        <f t="shared" si="13"/>
        <v>0.38197014991968586</v>
      </c>
    </row>
    <row r="95" spans="4:18" ht="15.75" thickBot="1" x14ac:dyDescent="0.3">
      <c r="D95" s="41" t="s">
        <v>81</v>
      </c>
      <c r="E95" s="49" t="str">
        <f t="shared" si="13"/>
        <v/>
      </c>
      <c r="F95" s="49" t="str">
        <f t="shared" si="13"/>
        <v/>
      </c>
      <c r="G95" s="49">
        <f t="shared" si="13"/>
        <v>0.5</v>
      </c>
      <c r="H95" s="49">
        <f t="shared" si="13"/>
        <v>0.5</v>
      </c>
      <c r="I95" s="49">
        <f t="shared" si="13"/>
        <v>0.38197010530073172</v>
      </c>
      <c r="J95" s="49">
        <f t="shared" si="13"/>
        <v>0.38197014991968586</v>
      </c>
    </row>
    <row r="96" spans="4:18" ht="15.75" thickBot="1" x14ac:dyDescent="0.3">
      <c r="D96" s="46" t="s">
        <v>82</v>
      </c>
      <c r="E96" s="49">
        <f t="shared" si="13"/>
        <v>1</v>
      </c>
      <c r="F96" s="49">
        <f t="shared" si="13"/>
        <v>1</v>
      </c>
      <c r="G96" s="49">
        <f t="shared" si="13"/>
        <v>1</v>
      </c>
      <c r="H96" s="49">
        <f t="shared" si="13"/>
        <v>1</v>
      </c>
      <c r="I96" s="49">
        <f t="shared" si="13"/>
        <v>1</v>
      </c>
      <c r="J96" s="49">
        <f t="shared" si="13"/>
        <v>1</v>
      </c>
    </row>
    <row r="100" spans="4:10" ht="15.75" thickBot="1" x14ac:dyDescent="0.3"/>
    <row r="101" spans="4:10" ht="15.75" thickBot="1" x14ac:dyDescent="0.3">
      <c r="D101" s="50">
        <v>68.681843332542883</v>
      </c>
    </row>
    <row r="102" spans="4:10" ht="15.75" thickBot="1" x14ac:dyDescent="0.3">
      <c r="D102" s="51">
        <v>1.1947744842304957</v>
      </c>
    </row>
    <row r="103" spans="4:10" ht="15.75" thickBot="1" x14ac:dyDescent="0.3">
      <c r="D103" s="51">
        <v>34.050838142346805</v>
      </c>
    </row>
    <row r="104" spans="4:10" ht="15.75" thickBot="1" x14ac:dyDescent="0.3">
      <c r="D104" s="51">
        <v>0.49167133827974724</v>
      </c>
    </row>
    <row r="105" spans="4:10" ht="15.75" thickBot="1" x14ac:dyDescent="0.3">
      <c r="D105" s="51">
        <v>0.49137167588791719</v>
      </c>
    </row>
    <row r="106" spans="4:10" ht="15.75" thickBot="1" x14ac:dyDescent="0.3">
      <c r="D106" s="51">
        <v>0.6093057290737105</v>
      </c>
    </row>
    <row r="108" spans="4:10" ht="15.75" thickBot="1" x14ac:dyDescent="0.3"/>
    <row r="109" spans="4:10" ht="15.75" thickBot="1" x14ac:dyDescent="0.3">
      <c r="D109" s="50">
        <v>68.681843332542883</v>
      </c>
      <c r="E109" s="51">
        <v>1.1947744842304957</v>
      </c>
      <c r="F109" s="51">
        <v>34.050838142346805</v>
      </c>
      <c r="G109" s="51">
        <v>0.49167133827974724</v>
      </c>
      <c r="H109" s="51">
        <v>0.49137167588791719</v>
      </c>
      <c r="I109" s="51">
        <v>0.6093057290737105</v>
      </c>
    </row>
    <row r="111" spans="4:10" ht="15.75" thickBot="1" x14ac:dyDescent="0.3"/>
    <row r="112" spans="4:10" ht="15.75" thickBot="1" x14ac:dyDescent="0.3">
      <c r="D112" s="37">
        <v>0</v>
      </c>
      <c r="E112" s="203" t="s">
        <v>66</v>
      </c>
      <c r="F112" s="204"/>
      <c r="G112" s="204"/>
      <c r="H112" s="204"/>
      <c r="I112" s="204"/>
      <c r="J112" s="205"/>
    </row>
    <row r="113" spans="4:11" ht="15.75" thickBot="1" x14ac:dyDescent="0.3">
      <c r="D113" s="52" t="s">
        <v>83</v>
      </c>
      <c r="E113" s="40" t="s">
        <v>67</v>
      </c>
      <c r="F113" s="40" t="s">
        <v>68</v>
      </c>
      <c r="G113" s="40" t="s">
        <v>69</v>
      </c>
      <c r="H113" s="40" t="s">
        <v>70</v>
      </c>
      <c r="I113" s="40" t="s">
        <v>71</v>
      </c>
      <c r="J113" s="40" t="s">
        <v>72</v>
      </c>
    </row>
    <row r="114" spans="4:11" ht="15.75" thickBot="1" x14ac:dyDescent="0.3">
      <c r="D114" s="41" t="s">
        <v>78</v>
      </c>
      <c r="E114" s="53">
        <v>252.93</v>
      </c>
      <c r="F114" s="54">
        <v>42155</v>
      </c>
      <c r="G114" s="55"/>
      <c r="H114" s="55"/>
      <c r="I114" s="54">
        <v>52886.9</v>
      </c>
      <c r="J114" s="54">
        <v>5288.69</v>
      </c>
    </row>
    <row r="115" spans="4:11" ht="15.75" thickBot="1" x14ac:dyDescent="0.3">
      <c r="D115" s="41" t="s">
        <v>79</v>
      </c>
      <c r="E115" s="53">
        <v>253.11</v>
      </c>
      <c r="F115" s="54">
        <v>42185</v>
      </c>
      <c r="G115" s="55"/>
      <c r="H115" s="55"/>
      <c r="I115" s="54">
        <v>52924.54</v>
      </c>
      <c r="J115" s="54">
        <v>5292.45</v>
      </c>
    </row>
    <row r="116" spans="4:11" ht="15.75" thickBot="1" x14ac:dyDescent="0.3">
      <c r="D116" s="41" t="s">
        <v>80</v>
      </c>
      <c r="E116" s="55"/>
      <c r="F116" s="55"/>
      <c r="G116" s="53">
        <v>363.9</v>
      </c>
      <c r="H116" s="54">
        <v>181950</v>
      </c>
      <c r="I116" s="54">
        <v>171214.28</v>
      </c>
      <c r="J116" s="54">
        <v>17121.43</v>
      </c>
    </row>
    <row r="117" spans="4:11" ht="15.75" thickBot="1" x14ac:dyDescent="0.3">
      <c r="D117" s="41" t="s">
        <v>81</v>
      </c>
      <c r="E117" s="55"/>
      <c r="F117" s="55"/>
      <c r="G117" s="53">
        <v>363.9</v>
      </c>
      <c r="H117" s="54">
        <v>181950</v>
      </c>
      <c r="I117" s="54">
        <v>171214.28</v>
      </c>
      <c r="J117" s="54">
        <v>17121.43</v>
      </c>
    </row>
    <row r="118" spans="4:11" ht="15.75" thickBot="1" x14ac:dyDescent="0.3">
      <c r="D118" s="46" t="s">
        <v>82</v>
      </c>
      <c r="E118" s="47">
        <v>506.04</v>
      </c>
      <c r="F118" s="48">
        <v>84340</v>
      </c>
      <c r="G118" s="47">
        <v>727.8</v>
      </c>
      <c r="H118" s="48">
        <v>363900</v>
      </c>
      <c r="I118" s="48">
        <v>448240</v>
      </c>
      <c r="J118" s="48">
        <v>44824</v>
      </c>
    </row>
    <row r="119" spans="4:11" ht="15.75" thickBot="1" x14ac:dyDescent="0.3">
      <c r="D119" s="46" t="s">
        <v>84</v>
      </c>
      <c r="E119" s="61">
        <v>68.681843332542883</v>
      </c>
      <c r="F119" s="61">
        <v>1.1947744842304957</v>
      </c>
      <c r="G119" s="61">
        <v>34.050838142346805</v>
      </c>
      <c r="H119" s="61">
        <v>0.49167133827974724</v>
      </c>
      <c r="I119" s="61">
        <v>0.49137167588791719</v>
      </c>
      <c r="J119" s="61">
        <v>0.6093057290737105</v>
      </c>
    </row>
    <row r="121" spans="4:11" ht="15.75" thickBot="1" x14ac:dyDescent="0.3"/>
    <row r="122" spans="4:11" ht="15.75" thickBot="1" x14ac:dyDescent="0.3">
      <c r="D122" s="37">
        <v>0</v>
      </c>
      <c r="E122" s="203" t="s">
        <v>66</v>
      </c>
      <c r="F122" s="204"/>
      <c r="G122" s="204"/>
      <c r="H122" s="204"/>
      <c r="I122" s="204"/>
      <c r="J122" s="205"/>
    </row>
    <row r="123" spans="4:11" ht="15.75" thickBot="1" x14ac:dyDescent="0.3">
      <c r="D123" s="52" t="s">
        <v>83</v>
      </c>
      <c r="E123" s="40" t="s">
        <v>67</v>
      </c>
      <c r="F123" s="40" t="s">
        <v>68</v>
      </c>
      <c r="G123" s="40" t="s">
        <v>69</v>
      </c>
      <c r="H123" s="40" t="s">
        <v>70</v>
      </c>
      <c r="I123" s="40" t="s">
        <v>71</v>
      </c>
      <c r="J123" s="40" t="s">
        <v>72</v>
      </c>
    </row>
    <row r="124" spans="4:11" ht="15.75" thickBot="1" x14ac:dyDescent="0.3">
      <c r="D124" s="41" t="s">
        <v>78</v>
      </c>
      <c r="E124" s="56">
        <f>IF(E114*E$129=0,"",E114*E$129)</f>
        <v>17371.69863410007</v>
      </c>
      <c r="F124" s="56">
        <f t="shared" ref="F124:J124" si="14">IF(F114*F$129=0,"",F114*F$129)</f>
        <v>50365.718382736544</v>
      </c>
      <c r="G124" s="56" t="str">
        <f t="shared" si="14"/>
        <v/>
      </c>
      <c r="H124" s="56" t="str">
        <f t="shared" si="14"/>
        <v/>
      </c>
      <c r="I124" s="56">
        <f t="shared" si="14"/>
        <v>25987.12468551669</v>
      </c>
      <c r="J124" s="56">
        <f t="shared" si="14"/>
        <v>3222.4291162948416</v>
      </c>
      <c r="K124" s="58">
        <f>SUM(E124:J124)</f>
        <v>96946.970818648144</v>
      </c>
    </row>
    <row r="125" spans="4:11" ht="15.75" thickBot="1" x14ac:dyDescent="0.3">
      <c r="D125" s="41" t="s">
        <v>79</v>
      </c>
      <c r="E125" s="56">
        <f t="shared" ref="E125:J128" si="15">IF(E115*E$129=0,"",E115*E$129)</f>
        <v>17384.061365899928</v>
      </c>
      <c r="F125" s="56">
        <f t="shared" si="15"/>
        <v>50401.561617263462</v>
      </c>
      <c r="G125" s="56" t="str">
        <f t="shared" si="15"/>
        <v/>
      </c>
      <c r="H125" s="56" t="str">
        <f t="shared" si="15"/>
        <v/>
      </c>
      <c r="I125" s="56">
        <f t="shared" si="15"/>
        <v>26005.61991539711</v>
      </c>
      <c r="J125" s="56">
        <f t="shared" si="15"/>
        <v>3224.7201058361588</v>
      </c>
      <c r="K125" s="58">
        <f t="shared" ref="K125:K127" si="16">SUM(E125:J125)</f>
        <v>97015.963004396661</v>
      </c>
    </row>
    <row r="126" spans="4:11" ht="15.75" thickBot="1" x14ac:dyDescent="0.3">
      <c r="D126" s="41" t="s">
        <v>80</v>
      </c>
      <c r="E126" s="56" t="str">
        <f t="shared" si="15"/>
        <v/>
      </c>
      <c r="F126" s="56" t="str">
        <f t="shared" si="15"/>
        <v/>
      </c>
      <c r="G126" s="56">
        <f t="shared" si="15"/>
        <v>12391.100000000002</v>
      </c>
      <c r="H126" s="56">
        <f t="shared" si="15"/>
        <v>89459.6</v>
      </c>
      <c r="I126" s="56">
        <f t="shared" si="15"/>
        <v>84129.847699543097</v>
      </c>
      <c r="J126" s="56">
        <f t="shared" si="15"/>
        <v>10432.1853889345</v>
      </c>
      <c r="K126" s="58">
        <f t="shared" si="16"/>
        <v>196412.73308847763</v>
      </c>
    </row>
    <row r="127" spans="4:11" ht="15.75" thickBot="1" x14ac:dyDescent="0.3">
      <c r="D127" s="41" t="s">
        <v>81</v>
      </c>
      <c r="E127" s="56" t="str">
        <f t="shared" si="15"/>
        <v/>
      </c>
      <c r="F127" s="56" t="str">
        <f t="shared" si="15"/>
        <v/>
      </c>
      <c r="G127" s="56">
        <f t="shared" si="15"/>
        <v>12391.100000000002</v>
      </c>
      <c r="H127" s="56">
        <f t="shared" si="15"/>
        <v>89459.6</v>
      </c>
      <c r="I127" s="56">
        <f t="shared" si="15"/>
        <v>84129.847699543097</v>
      </c>
      <c r="J127" s="56">
        <f t="shared" si="15"/>
        <v>10432.1853889345</v>
      </c>
      <c r="K127" s="58">
        <f t="shared" si="16"/>
        <v>196412.73308847763</v>
      </c>
    </row>
    <row r="128" spans="4:11" ht="15.75" thickBot="1" x14ac:dyDescent="0.3">
      <c r="D128" s="46" t="s">
        <v>82</v>
      </c>
      <c r="E128" s="57">
        <f t="shared" si="15"/>
        <v>34755.760000000002</v>
      </c>
      <c r="F128" s="57">
        <f t="shared" si="15"/>
        <v>100767.28000000001</v>
      </c>
      <c r="G128" s="57">
        <f t="shared" si="15"/>
        <v>24782.200000000004</v>
      </c>
      <c r="H128" s="57">
        <f t="shared" si="15"/>
        <v>178919.2</v>
      </c>
      <c r="I128" s="57">
        <f t="shared" si="15"/>
        <v>220252.44</v>
      </c>
      <c r="J128" s="57">
        <f t="shared" si="15"/>
        <v>27311.52</v>
      </c>
      <c r="K128" s="58">
        <f>SUM(K124:K127)</f>
        <v>586788.40000000014</v>
      </c>
    </row>
    <row r="129" spans="1:11" ht="15.75" thickBot="1" x14ac:dyDescent="0.3">
      <c r="D129" s="46" t="s">
        <v>84</v>
      </c>
      <c r="E129" s="61">
        <v>68.681843332542883</v>
      </c>
      <c r="F129" s="61">
        <v>1.1947744842304957</v>
      </c>
      <c r="G129" s="61">
        <v>34.050838142346805</v>
      </c>
      <c r="H129" s="61">
        <v>0.49167133827974724</v>
      </c>
      <c r="I129" s="61">
        <v>0.49137167588791719</v>
      </c>
      <c r="J129" s="61">
        <v>0.6093057290737105</v>
      </c>
      <c r="K129" s="58">
        <v>586788.4</v>
      </c>
    </row>
    <row r="130" spans="1:11" x14ac:dyDescent="0.25">
      <c r="E130" s="99">
        <f>E124/2810</f>
        <v>6.18209915804273</v>
      </c>
      <c r="K130" s="58">
        <f>K129-K128</f>
        <v>0</v>
      </c>
    </row>
    <row r="131" spans="1:11" ht="15.75" thickBot="1" x14ac:dyDescent="0.3"/>
    <row r="132" spans="1:11" ht="15.75" thickBot="1" x14ac:dyDescent="0.3">
      <c r="D132" s="37">
        <v>0</v>
      </c>
      <c r="E132" s="62"/>
      <c r="F132" s="63"/>
      <c r="G132" s="63"/>
    </row>
    <row r="133" spans="1:11" ht="22.5" x14ac:dyDescent="0.25">
      <c r="D133" s="208" t="s">
        <v>83</v>
      </c>
      <c r="E133" s="210" t="s">
        <v>85</v>
      </c>
      <c r="F133" s="64" t="s">
        <v>86</v>
      </c>
      <c r="G133" s="64" t="s">
        <v>88</v>
      </c>
    </row>
    <row r="134" spans="1:11" ht="23.25" thickBot="1" x14ac:dyDescent="0.3">
      <c r="A134">
        <v>586788.4</v>
      </c>
      <c r="D134" s="209"/>
      <c r="E134" s="211"/>
      <c r="F134" s="65" t="s">
        <v>87</v>
      </c>
      <c r="G134" s="65" t="s">
        <v>89</v>
      </c>
    </row>
    <row r="135" spans="1:11" ht="15.75" thickBot="1" x14ac:dyDescent="0.3">
      <c r="D135" s="41" t="s">
        <v>78</v>
      </c>
      <c r="E135" s="66">
        <f>K124</f>
        <v>96946.970818648144</v>
      </c>
      <c r="F135" s="67">
        <f>2810*5</f>
        <v>14050</v>
      </c>
      <c r="G135" s="70">
        <f>E135/F135</f>
        <v>6.9001402717899039</v>
      </c>
    </row>
    <row r="136" spans="1:11" ht="15.75" thickBot="1" x14ac:dyDescent="0.3">
      <c r="D136" s="41" t="s">
        <v>79</v>
      </c>
      <c r="E136" s="66">
        <f t="shared" ref="E136:E138" si="17">K125</f>
        <v>97015.963004396661</v>
      </c>
      <c r="F136" s="67">
        <f>2812*5</f>
        <v>14060</v>
      </c>
      <c r="G136" s="70">
        <f t="shared" ref="G136:G138" si="18">E136/F136</f>
        <v>6.9001396162444282</v>
      </c>
    </row>
    <row r="137" spans="1:11" ht="15.75" thickBot="1" x14ac:dyDescent="0.3">
      <c r="D137" s="41" t="s">
        <v>80</v>
      </c>
      <c r="E137" s="66">
        <f t="shared" si="17"/>
        <v>196412.73308847763</v>
      </c>
      <c r="F137" s="67">
        <f>9097*5</f>
        <v>45485</v>
      </c>
      <c r="G137" s="70">
        <f t="shared" si="18"/>
        <v>4.3181869426949024</v>
      </c>
    </row>
    <row r="138" spans="1:11" ht="15.75" thickBot="1" x14ac:dyDescent="0.3">
      <c r="A138">
        <f>252.93/2810</f>
        <v>9.0010676156583633E-2</v>
      </c>
      <c r="D138" s="41" t="s">
        <v>81</v>
      </c>
      <c r="E138" s="66">
        <f t="shared" si="17"/>
        <v>196412.73308847763</v>
      </c>
      <c r="F138" s="67">
        <f>9097*5</f>
        <v>45485</v>
      </c>
      <c r="G138" s="70">
        <f t="shared" si="18"/>
        <v>4.3181869426949024</v>
      </c>
      <c r="H138">
        <f>E139/F140</f>
        <v>4.927682230433323</v>
      </c>
    </row>
    <row r="139" spans="1:11" ht="15.75" thickBot="1" x14ac:dyDescent="0.3">
      <c r="A139">
        <v>68.682000000000002</v>
      </c>
      <c r="D139" s="46" t="s">
        <v>90</v>
      </c>
      <c r="E139" s="68">
        <f>SUM(E135:E138)</f>
        <v>586788.40000000014</v>
      </c>
      <c r="F139" s="69"/>
      <c r="G139" s="69"/>
    </row>
    <row r="140" spans="1:11" ht="15.75" thickBot="1" x14ac:dyDescent="0.3">
      <c r="A140">
        <f>A138*A139</f>
        <v>6.182113259786477</v>
      </c>
      <c r="F140" s="17">
        <f>SUM(F135:F139)</f>
        <v>119080</v>
      </c>
    </row>
    <row r="141" spans="1:11" ht="15.75" thickBot="1" x14ac:dyDescent="0.3">
      <c r="D141" s="37">
        <v>0</v>
      </c>
      <c r="E141" s="203" t="s">
        <v>66</v>
      </c>
      <c r="F141" s="204"/>
      <c r="G141" s="204"/>
      <c r="H141" s="204"/>
      <c r="I141" s="204"/>
      <c r="J141" s="205"/>
    </row>
    <row r="142" spans="1:11" ht="15.75" thickBot="1" x14ac:dyDescent="0.3">
      <c r="D142" s="52" t="s">
        <v>83</v>
      </c>
      <c r="E142" s="40" t="s">
        <v>67</v>
      </c>
      <c r="F142" s="40" t="s">
        <v>68</v>
      </c>
      <c r="G142" s="40" t="s">
        <v>69</v>
      </c>
      <c r="H142" s="40" t="s">
        <v>70</v>
      </c>
      <c r="I142" s="40" t="s">
        <v>71</v>
      </c>
      <c r="J142" s="40" t="s">
        <v>72</v>
      </c>
    </row>
    <row r="143" spans="1:11" ht="15.75" thickBot="1" x14ac:dyDescent="0.3">
      <c r="D143" s="41" t="s">
        <v>78</v>
      </c>
      <c r="E143" s="71">
        <f>IFERROR(E124/$K124,"")</f>
        <v>0.17918763719390554</v>
      </c>
      <c r="F143" s="71">
        <f t="shared" ref="F143:K143" si="19">IFERROR(F124/$K124,"")</f>
        <v>0.51951822689697169</v>
      </c>
      <c r="G143" s="71" t="str">
        <f t="shared" si="19"/>
        <v/>
      </c>
      <c r="H143" s="71" t="str">
        <f t="shared" si="19"/>
        <v/>
      </c>
      <c r="I143" s="71">
        <f t="shared" si="19"/>
        <v>0.26805504562003252</v>
      </c>
      <c r="J143" s="71">
        <f t="shared" si="19"/>
        <v>3.323909028909023E-2</v>
      </c>
      <c r="K143" s="71">
        <f t="shared" si="19"/>
        <v>1</v>
      </c>
    </row>
    <row r="144" spans="1:11" ht="15.75" thickBot="1" x14ac:dyDescent="0.3">
      <c r="D144" s="41" t="s">
        <v>79</v>
      </c>
      <c r="E144" s="71">
        <f t="shared" ref="E144:K144" si="20">IFERROR(E125/$K125,"")</f>
        <v>0.1791876391013312</v>
      </c>
      <c r="F144" s="71">
        <f t="shared" si="20"/>
        <v>0.51951823242716577</v>
      </c>
      <c r="G144" s="71" t="str">
        <f t="shared" si="20"/>
        <v/>
      </c>
      <c r="H144" s="71" t="str">
        <f t="shared" si="20"/>
        <v/>
      </c>
      <c r="I144" s="71">
        <f t="shared" si="20"/>
        <v>0.26805506135334206</v>
      </c>
      <c r="J144" s="71">
        <f t="shared" si="20"/>
        <v>3.3239067118160937E-2</v>
      </c>
      <c r="K144" s="71">
        <f t="shared" si="20"/>
        <v>1</v>
      </c>
    </row>
    <row r="145" spans="4:11" ht="15.75" thickBot="1" x14ac:dyDescent="0.3">
      <c r="D145" s="41" t="s">
        <v>80</v>
      </c>
      <c r="E145" s="71" t="str">
        <f t="shared" ref="E145:K145" si="21">IFERROR(E126/$K126,"")</f>
        <v/>
      </c>
      <c r="F145" s="71" t="str">
        <f t="shared" si="21"/>
        <v/>
      </c>
      <c r="G145" s="71">
        <f t="shared" si="21"/>
        <v>6.3087050442998574E-2</v>
      </c>
      <c r="H145" s="71">
        <f t="shared" si="21"/>
        <v>0.45546741595261714</v>
      </c>
      <c r="I145" s="71">
        <f t="shared" si="21"/>
        <v>0.42833194353873838</v>
      </c>
      <c r="J145" s="71">
        <f t="shared" si="21"/>
        <v>5.3113590065645776E-2</v>
      </c>
      <c r="K145" s="71">
        <f t="shared" si="21"/>
        <v>1</v>
      </c>
    </row>
    <row r="146" spans="4:11" ht="15.75" thickBot="1" x14ac:dyDescent="0.3">
      <c r="D146" s="41" t="s">
        <v>81</v>
      </c>
      <c r="E146" s="71" t="str">
        <f t="shared" ref="E146:K146" si="22">IFERROR(E127/$K127,"")</f>
        <v/>
      </c>
      <c r="F146" s="71" t="str">
        <f t="shared" si="22"/>
        <v/>
      </c>
      <c r="G146" s="71">
        <f t="shared" si="22"/>
        <v>6.3087050442998574E-2</v>
      </c>
      <c r="H146" s="71">
        <f t="shared" si="22"/>
        <v>0.45546741595261714</v>
      </c>
      <c r="I146" s="71">
        <f t="shared" si="22"/>
        <v>0.42833194353873838</v>
      </c>
      <c r="J146" s="71">
        <f t="shared" si="22"/>
        <v>5.3113590065645776E-2</v>
      </c>
      <c r="K146" s="71">
        <f t="shared" si="22"/>
        <v>1</v>
      </c>
    </row>
    <row r="148" spans="4:11" ht="15.75" thickBot="1" x14ac:dyDescent="0.3"/>
    <row r="149" spans="4:11" ht="15.75" thickBot="1" x14ac:dyDescent="0.3">
      <c r="D149" s="37">
        <v>0</v>
      </c>
      <c r="E149" s="203" t="s">
        <v>66</v>
      </c>
      <c r="F149" s="204"/>
      <c r="G149" s="204"/>
      <c r="H149" s="204"/>
      <c r="I149" s="204"/>
      <c r="J149" s="205"/>
    </row>
    <row r="150" spans="4:11" ht="15.75" thickBot="1" x14ac:dyDescent="0.3">
      <c r="D150" s="52" t="s">
        <v>83</v>
      </c>
      <c r="E150" s="40" t="s">
        <v>67</v>
      </c>
      <c r="F150" s="40" t="s">
        <v>68</v>
      </c>
      <c r="G150" s="40" t="s">
        <v>69</v>
      </c>
      <c r="H150" s="40" t="s">
        <v>70</v>
      </c>
      <c r="I150" s="40" t="s">
        <v>71</v>
      </c>
      <c r="J150" s="40" t="s">
        <v>72</v>
      </c>
    </row>
    <row r="151" spans="4:11" ht="15.75" thickBot="1" x14ac:dyDescent="0.3">
      <c r="D151" s="41" t="s">
        <v>78</v>
      </c>
      <c r="E151" s="72">
        <f>IFERROR(E143*$K151,"")</f>
        <v>1.236419831608546</v>
      </c>
      <c r="F151" s="72">
        <f t="shared" ref="F151:J151" si="23">IFERROR(F143*$K151,"")</f>
        <v>3.5847486393406793</v>
      </c>
      <c r="G151" s="72" t="str">
        <f t="shared" si="23"/>
        <v/>
      </c>
      <c r="H151" s="72" t="str">
        <f t="shared" si="23"/>
        <v/>
      </c>
      <c r="I151" s="72">
        <f t="shared" si="23"/>
        <v>1.8496174153392662</v>
      </c>
      <c r="J151" s="72">
        <f t="shared" si="23"/>
        <v>0.22935438550141221</v>
      </c>
      <c r="K151" s="73">
        <f>G135</f>
        <v>6.9001402717899039</v>
      </c>
    </row>
    <row r="152" spans="4:11" ht="15.75" thickBot="1" x14ac:dyDescent="0.3">
      <c r="D152" s="41" t="s">
        <v>79</v>
      </c>
      <c r="E152" s="72">
        <f t="shared" ref="E152:J152" si="24">IFERROR(E144*$K152,"")</f>
        <v>1.2364197273044046</v>
      </c>
      <c r="F152" s="72">
        <f t="shared" si="24"/>
        <v>3.5847483369319675</v>
      </c>
      <c r="G152" s="72" t="str">
        <f t="shared" si="24"/>
        <v/>
      </c>
      <c r="H152" s="72" t="str">
        <f t="shared" si="24"/>
        <v/>
      </c>
      <c r="I152" s="72">
        <f t="shared" si="24"/>
        <v>1.8496173481790263</v>
      </c>
      <c r="J152" s="72">
        <f t="shared" si="24"/>
        <v>0.2293542038290298</v>
      </c>
      <c r="K152" s="72">
        <f t="shared" ref="K152:K154" si="25">G136</f>
        <v>6.9001396162444282</v>
      </c>
    </row>
    <row r="153" spans="4:11" ht="15.75" thickBot="1" x14ac:dyDescent="0.3">
      <c r="D153" s="41" t="s">
        <v>80</v>
      </c>
      <c r="E153" s="72" t="str">
        <f t="shared" ref="E153:J153" si="26">IFERROR(E145*$K153,"")</f>
        <v/>
      </c>
      <c r="F153" s="72" t="str">
        <f t="shared" si="26"/>
        <v/>
      </c>
      <c r="G153" s="72">
        <f t="shared" si="26"/>
        <v>0.27242167747609108</v>
      </c>
      <c r="H153" s="72">
        <f t="shared" si="26"/>
        <v>1.9667934483895793</v>
      </c>
      <c r="I153" s="72">
        <f t="shared" si="26"/>
        <v>1.8496174057281103</v>
      </c>
      <c r="J153" s="72">
        <f t="shared" si="26"/>
        <v>0.22935441110112129</v>
      </c>
      <c r="K153" s="72">
        <f t="shared" si="25"/>
        <v>4.3181869426949024</v>
      </c>
    </row>
    <row r="154" spans="4:11" ht="15.75" thickBot="1" x14ac:dyDescent="0.3">
      <c r="D154" s="41" t="s">
        <v>81</v>
      </c>
      <c r="E154" s="72" t="str">
        <f t="shared" ref="E154:J154" si="27">IFERROR(E146*$K154,"")</f>
        <v/>
      </c>
      <c r="F154" s="72" t="str">
        <f t="shared" si="27"/>
        <v/>
      </c>
      <c r="G154" s="72">
        <f t="shared" si="27"/>
        <v>0.27242167747609108</v>
      </c>
      <c r="H154" s="72">
        <f t="shared" si="27"/>
        <v>1.9667934483895793</v>
      </c>
      <c r="I154" s="72">
        <f t="shared" si="27"/>
        <v>1.8496174057281103</v>
      </c>
      <c r="J154" s="72">
        <f t="shared" si="27"/>
        <v>0.22935441110112129</v>
      </c>
      <c r="K154" s="72">
        <f t="shared" si="25"/>
        <v>4.3181869426949024</v>
      </c>
    </row>
    <row r="159" spans="4:11" x14ac:dyDescent="0.25">
      <c r="E159" s="74"/>
    </row>
    <row r="160" spans="4:11" ht="15.75" thickBot="1" x14ac:dyDescent="0.3"/>
    <row r="161" spans="3:9" ht="15.75" thickBot="1" x14ac:dyDescent="0.3">
      <c r="E161" s="206" t="s">
        <v>92</v>
      </c>
      <c r="F161" s="207"/>
      <c r="G161" s="90"/>
      <c r="H161" s="206" t="s">
        <v>93</v>
      </c>
      <c r="I161" s="207"/>
    </row>
    <row r="162" spans="3:9" ht="15.75" thickBot="1" x14ac:dyDescent="0.3">
      <c r="D162" s="20" t="s">
        <v>30</v>
      </c>
      <c r="E162" s="21" t="s">
        <v>36</v>
      </c>
      <c r="F162" s="21" t="s">
        <v>91</v>
      </c>
      <c r="G162" s="80" t="s">
        <v>94</v>
      </c>
      <c r="H162" s="21" t="s">
        <v>36</v>
      </c>
      <c r="I162" s="21" t="s">
        <v>91</v>
      </c>
    </row>
    <row r="163" spans="3:9" ht="15.75" thickBot="1" x14ac:dyDescent="0.3">
      <c r="D163" s="82" t="s">
        <v>21</v>
      </c>
      <c r="E163" s="83">
        <v>8640</v>
      </c>
      <c r="F163" s="88">
        <f>E163/$E$172</f>
        <v>3.9227715252552933E-2</v>
      </c>
      <c r="G163" s="81">
        <v>0</v>
      </c>
      <c r="H163" s="75">
        <f>E163*(1+G163)</f>
        <v>8640</v>
      </c>
      <c r="I163" s="78">
        <f>H163/$H$172</f>
        <v>7.038127295089322E-2</v>
      </c>
    </row>
    <row r="164" spans="3:9" ht="15.75" thickBot="1" x14ac:dyDescent="0.3">
      <c r="D164" s="82" t="s">
        <v>38</v>
      </c>
      <c r="E164" s="85"/>
      <c r="F164" s="89"/>
      <c r="G164" s="84">
        <v>0</v>
      </c>
      <c r="H164" s="76"/>
      <c r="I164" s="79"/>
    </row>
    <row r="165" spans="3:9" ht="15.75" thickBot="1" x14ac:dyDescent="0.3">
      <c r="D165" s="82" t="s">
        <v>39</v>
      </c>
      <c r="E165" s="85"/>
      <c r="F165" s="89"/>
      <c r="G165" s="84">
        <v>0</v>
      </c>
      <c r="H165" s="76"/>
      <c r="I165" s="79"/>
    </row>
    <row r="166" spans="3:9" ht="15.75" thickBot="1" x14ac:dyDescent="0.3">
      <c r="D166" s="82" t="s">
        <v>40</v>
      </c>
      <c r="E166" s="85"/>
      <c r="F166" s="89"/>
      <c r="G166" s="84">
        <v>0</v>
      </c>
      <c r="H166" s="76"/>
      <c r="I166" s="79"/>
    </row>
    <row r="167" spans="3:9" ht="15.75" thickBot="1" x14ac:dyDescent="0.3">
      <c r="D167" s="82" t="s">
        <v>25</v>
      </c>
      <c r="E167" s="85"/>
      <c r="F167" s="89"/>
      <c r="G167" s="84">
        <v>0</v>
      </c>
      <c r="H167" s="76"/>
      <c r="I167" s="79"/>
    </row>
    <row r="168" spans="3:9" ht="15.75" thickBot="1" x14ac:dyDescent="0.3">
      <c r="D168" s="82" t="s">
        <v>26</v>
      </c>
      <c r="E168" s="83">
        <v>14662.44</v>
      </c>
      <c r="F168" s="88">
        <f>E168/$E$172</f>
        <v>6.6571067271717854E-2</v>
      </c>
      <c r="G168" s="81">
        <v>0.2</v>
      </c>
      <c r="H168" s="75">
        <f>E168*(1+G168)</f>
        <v>17594.928</v>
      </c>
      <c r="I168" s="78">
        <f>H168/$H$172</f>
        <v>0.1433279433008465</v>
      </c>
    </row>
    <row r="169" spans="3:9" ht="30.75" thickBot="1" x14ac:dyDescent="0.3">
      <c r="D169" s="86" t="s">
        <v>41</v>
      </c>
      <c r="E169" s="83">
        <v>132600</v>
      </c>
      <c r="F169" s="88">
        <f>E169/$E$172</f>
        <v>0.60203646325098603</v>
      </c>
      <c r="G169" s="81">
        <v>-1</v>
      </c>
      <c r="H169" s="75">
        <f>E169*(1+G169)</f>
        <v>0</v>
      </c>
      <c r="I169" s="78">
        <f>H169/$H$172</f>
        <v>0</v>
      </c>
    </row>
    <row r="170" spans="3:9" ht="30.75" thickBot="1" x14ac:dyDescent="0.3">
      <c r="D170" s="86" t="s">
        <v>28</v>
      </c>
      <c r="E170" s="83">
        <v>64350</v>
      </c>
      <c r="F170" s="88">
        <f>E170/$E$172</f>
        <v>0.2921647542247432</v>
      </c>
      <c r="G170" s="81">
        <v>0.5</v>
      </c>
      <c r="H170" s="75">
        <f>E170*(1+G170)</f>
        <v>96525</v>
      </c>
      <c r="I170" s="78">
        <f>H170/$H$172</f>
        <v>0.78629078374826022</v>
      </c>
    </row>
    <row r="171" spans="3:9" ht="15.75" thickBot="1" x14ac:dyDescent="0.3">
      <c r="D171" s="82" t="s">
        <v>29</v>
      </c>
      <c r="E171" s="85"/>
      <c r="F171" s="89">
        <f>E171/$E$172</f>
        <v>0</v>
      </c>
      <c r="G171" s="84">
        <v>0</v>
      </c>
      <c r="H171" s="75">
        <f>E171*(1+G171)</f>
        <v>0</v>
      </c>
      <c r="I171" s="78">
        <f>H171/$H$172</f>
        <v>0</v>
      </c>
    </row>
    <row r="172" spans="3:9" ht="15.75" thickBot="1" x14ac:dyDescent="0.3">
      <c r="D172" s="82" t="s">
        <v>42</v>
      </c>
      <c r="E172" s="83">
        <f>SUM(E163:E171)</f>
        <v>220252.44</v>
      </c>
      <c r="F172" s="91">
        <f t="shared" ref="F172" si="28">SUM(F163:F171)</f>
        <v>1</v>
      </c>
      <c r="H172" s="92">
        <f>SUM(H163:H171)</f>
        <v>122759.928</v>
      </c>
      <c r="I172" s="78">
        <f>SUM(I163:I171)</f>
        <v>1</v>
      </c>
    </row>
    <row r="173" spans="3:9" ht="15.75" thickBot="1" x14ac:dyDescent="0.3">
      <c r="D173" s="82" t="s">
        <v>95</v>
      </c>
      <c r="E173" s="83">
        <v>448240</v>
      </c>
      <c r="H173" s="93">
        <f>E173</f>
        <v>448240</v>
      </c>
    </row>
    <row r="174" spans="3:9" ht="15.75" thickBot="1" x14ac:dyDescent="0.3">
      <c r="C174" s="87"/>
      <c r="D174" s="82" t="s">
        <v>96</v>
      </c>
      <c r="E174" s="83">
        <f>E172/E173</f>
        <v>0.49137167588791719</v>
      </c>
      <c r="H174" s="93">
        <f>H172/H173</f>
        <v>0.27387097983223274</v>
      </c>
    </row>
    <row r="176" spans="3:9" ht="15.75" thickBot="1" x14ac:dyDescent="0.3"/>
    <row r="177" spans="4:9" ht="15.75" thickBot="1" x14ac:dyDescent="0.3">
      <c r="E177" s="206" t="s">
        <v>92</v>
      </c>
      <c r="F177" s="207"/>
      <c r="G177" s="90"/>
      <c r="H177" s="206" t="s">
        <v>93</v>
      </c>
      <c r="I177" s="207"/>
    </row>
    <row r="178" spans="4:9" ht="15.75" thickBot="1" x14ac:dyDescent="0.3">
      <c r="D178" s="20" t="s">
        <v>30</v>
      </c>
      <c r="E178" s="21" t="s">
        <v>36</v>
      </c>
      <c r="F178" s="21" t="s">
        <v>91</v>
      </c>
      <c r="G178" s="80" t="s">
        <v>94</v>
      </c>
      <c r="H178" s="21" t="s">
        <v>36</v>
      </c>
      <c r="I178" s="21" t="s">
        <v>91</v>
      </c>
    </row>
    <row r="179" spans="4:9" ht="15.75" thickBot="1" x14ac:dyDescent="0.3">
      <c r="D179" s="82" t="s">
        <v>21</v>
      </c>
      <c r="E179" s="83">
        <v>8640</v>
      </c>
      <c r="F179" s="88">
        <f>E179/$E$172</f>
        <v>3.9227715252552933E-2</v>
      </c>
      <c r="G179" s="81">
        <v>0</v>
      </c>
      <c r="H179" s="75">
        <f>E179*(1+G179)</f>
        <v>8640</v>
      </c>
      <c r="I179" s="78">
        <f>H179/$H$172</f>
        <v>7.038127295089322E-2</v>
      </c>
    </row>
    <row r="180" spans="4:9" ht="15.75" thickBot="1" x14ac:dyDescent="0.3">
      <c r="D180" s="82" t="s">
        <v>38</v>
      </c>
      <c r="E180" s="85"/>
      <c r="F180" s="89"/>
      <c r="G180" s="84">
        <v>0</v>
      </c>
      <c r="H180" s="76"/>
      <c r="I180" s="79"/>
    </row>
    <row r="181" spans="4:9" ht="15.75" thickBot="1" x14ac:dyDescent="0.3">
      <c r="D181" s="82" t="s">
        <v>39</v>
      </c>
      <c r="E181" s="85"/>
      <c r="F181" s="89"/>
      <c r="G181" s="84">
        <v>0</v>
      </c>
      <c r="H181" s="76"/>
      <c r="I181" s="79"/>
    </row>
    <row r="182" spans="4:9" ht="15.75" thickBot="1" x14ac:dyDescent="0.3">
      <c r="D182" s="82" t="s">
        <v>40</v>
      </c>
      <c r="E182" s="85"/>
      <c r="F182" s="89"/>
      <c r="G182" s="84">
        <v>0</v>
      </c>
      <c r="H182" s="76"/>
      <c r="I182" s="79"/>
    </row>
    <row r="183" spans="4:9" ht="15.75" thickBot="1" x14ac:dyDescent="0.3">
      <c r="D183" s="82" t="s">
        <v>25</v>
      </c>
      <c r="E183" s="85"/>
      <c r="F183" s="89"/>
      <c r="G183" s="84">
        <v>0</v>
      </c>
      <c r="H183" s="76"/>
      <c r="I183" s="79"/>
    </row>
    <row r="184" spans="4:9" ht="15.75" thickBot="1" x14ac:dyDescent="0.3">
      <c r="D184" s="82" t="s">
        <v>26</v>
      </c>
      <c r="E184" s="83">
        <v>14662.44</v>
      </c>
      <c r="F184" s="88">
        <f>E184/$E$172</f>
        <v>6.6571067271717854E-2</v>
      </c>
      <c r="G184" s="81">
        <v>0.2</v>
      </c>
      <c r="H184" s="75">
        <f>E184*(1+G184)</f>
        <v>17594.928</v>
      </c>
      <c r="I184" s="78">
        <f>H184/$H$172</f>
        <v>0.1433279433008465</v>
      </c>
    </row>
    <row r="185" spans="4:9" ht="30.75" thickBot="1" x14ac:dyDescent="0.3">
      <c r="D185" s="86" t="s">
        <v>41</v>
      </c>
      <c r="E185" s="83">
        <v>132600</v>
      </c>
      <c r="F185" s="88">
        <f>E185/$E$172</f>
        <v>0.60203646325098603</v>
      </c>
      <c r="G185" s="81">
        <v>-1</v>
      </c>
      <c r="H185" s="75">
        <f>E185*(1+G185)</f>
        <v>0</v>
      </c>
      <c r="I185" s="78">
        <f>H185/$H$172</f>
        <v>0</v>
      </c>
    </row>
    <row r="186" spans="4:9" ht="30.75" thickBot="1" x14ac:dyDescent="0.3">
      <c r="D186" s="86" t="s">
        <v>28</v>
      </c>
      <c r="E186" s="83">
        <v>64350</v>
      </c>
      <c r="F186" s="88">
        <f>E186/$E$172</f>
        <v>0.2921647542247432</v>
      </c>
      <c r="G186" s="81">
        <v>2.0150353194716386</v>
      </c>
      <c r="H186" s="95">
        <f>E186*(1+G186)</f>
        <v>194017.52280799995</v>
      </c>
      <c r="I186" s="78">
        <f>H186/$H$172</f>
        <v>1.5804629895840274</v>
      </c>
    </row>
    <row r="187" spans="4:9" ht="15.75" thickBot="1" x14ac:dyDescent="0.3">
      <c r="D187" s="82" t="s">
        <v>29</v>
      </c>
      <c r="E187" s="85"/>
      <c r="F187" s="89">
        <f>E187/$E$172</f>
        <v>0</v>
      </c>
      <c r="G187" s="84">
        <v>0</v>
      </c>
      <c r="H187" s="75">
        <f>E187*(1+G187)</f>
        <v>0</v>
      </c>
      <c r="I187" s="78">
        <f>H187/$H$172</f>
        <v>0</v>
      </c>
    </row>
    <row r="188" spans="4:9" ht="15.75" thickBot="1" x14ac:dyDescent="0.3">
      <c r="D188" s="82" t="s">
        <v>42</v>
      </c>
      <c r="E188" s="83">
        <f>SUM(E179:E187)</f>
        <v>220252.44</v>
      </c>
      <c r="F188" s="91">
        <f t="shared" ref="F188" si="29">SUM(F179:F187)</f>
        <v>1</v>
      </c>
      <c r="H188" s="92">
        <f>SUM(H179:H187)</f>
        <v>220252.45080799994</v>
      </c>
      <c r="I188" s="78">
        <f>SUM(I179:I187)</f>
        <v>1.7941722058357672</v>
      </c>
    </row>
    <row r="189" spans="4:9" ht="15.75" thickBot="1" x14ac:dyDescent="0.3">
      <c r="D189" s="82" t="s">
        <v>95</v>
      </c>
      <c r="E189" s="83">
        <v>448240</v>
      </c>
      <c r="H189" s="93">
        <f>E189</f>
        <v>448240</v>
      </c>
    </row>
    <row r="190" spans="4:9" ht="15.75" thickBot="1" x14ac:dyDescent="0.3">
      <c r="D190" s="82" t="s">
        <v>96</v>
      </c>
      <c r="E190" s="94">
        <f>E188/E189</f>
        <v>0.49137167588791719</v>
      </c>
      <c r="H190" s="93">
        <f>H188/H189</f>
        <v>0.49137169999999986</v>
      </c>
    </row>
    <row r="194" spans="4:4" x14ac:dyDescent="0.25">
      <c r="D194">
        <v>194017.52280799998</v>
      </c>
    </row>
    <row r="195" spans="4:4" ht="25.5" x14ac:dyDescent="0.25">
      <c r="D195" s="96" t="s">
        <v>97</v>
      </c>
    </row>
    <row r="196" spans="4:4" ht="38.25" x14ac:dyDescent="0.25">
      <c r="D196" s="96" t="s">
        <v>99</v>
      </c>
    </row>
    <row r="197" spans="4:4" x14ac:dyDescent="0.25">
      <c r="D197" s="97">
        <v>64350</v>
      </c>
    </row>
    <row r="198" spans="4:4" x14ac:dyDescent="0.25">
      <c r="D198">
        <v>8640</v>
      </c>
    </row>
    <row r="199" spans="4:4" x14ac:dyDescent="0.25">
      <c r="D199" s="23">
        <f>H184</f>
        <v>17594.928</v>
      </c>
    </row>
    <row r="200" spans="4:4" x14ac:dyDescent="0.25">
      <c r="D200">
        <v>64350</v>
      </c>
    </row>
    <row r="201" spans="4:4" x14ac:dyDescent="0.25">
      <c r="D201" s="23">
        <v>-220250.44</v>
      </c>
    </row>
    <row r="202" spans="4:4" x14ac:dyDescent="0.25">
      <c r="D202" s="98">
        <f>SUM(D198:D201)</f>
        <v>-129665.512</v>
      </c>
    </row>
    <row r="203" spans="4:4" x14ac:dyDescent="0.25">
      <c r="D203" s="77">
        <f>D202/-E186</f>
        <v>2.0150040714840713</v>
      </c>
    </row>
    <row r="204" spans="4:4" x14ac:dyDescent="0.25">
      <c r="D204" t="s">
        <v>98</v>
      </c>
    </row>
  </sheetData>
  <mergeCells count="13">
    <mergeCell ref="E79:J79"/>
    <mergeCell ref="E89:J89"/>
    <mergeCell ref="E112:J112"/>
    <mergeCell ref="E122:J122"/>
    <mergeCell ref="E161:F161"/>
    <mergeCell ref="H161:I161"/>
    <mergeCell ref="M80:R80"/>
    <mergeCell ref="E177:F177"/>
    <mergeCell ref="H177:I177"/>
    <mergeCell ref="D133:D134"/>
    <mergeCell ref="E133:E134"/>
    <mergeCell ref="E141:J141"/>
    <mergeCell ref="E149:J14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58"/>
  <sheetViews>
    <sheetView tabSelected="1" topLeftCell="A235" workbookViewId="0">
      <selection activeCell="G38" sqref="G38"/>
    </sheetView>
  </sheetViews>
  <sheetFormatPr baseColWidth="10" defaultRowHeight="15" x14ac:dyDescent="0.25"/>
  <cols>
    <col min="2" max="2" width="22.140625" bestFit="1" customWidth="1"/>
    <col min="3" max="3" width="27.42578125" customWidth="1"/>
    <col min="9" max="9" width="11.85546875" bestFit="1" customWidth="1"/>
  </cols>
  <sheetData>
    <row r="2" spans="1:19" ht="15.75" thickBot="1" x14ac:dyDescent="0.3">
      <c r="B2" s="200" t="str">
        <f t="array" ref="B2:D8">'Datos Enunciado'!B2:D8</f>
        <v>Tabla 1 Productos fabricados 2014</v>
      </c>
      <c r="C2" s="200">
        <v>0</v>
      </c>
      <c r="D2" s="200">
        <v>0</v>
      </c>
    </row>
    <row r="3" spans="1:19" ht="39" thickBot="1" x14ac:dyDescent="0.3">
      <c r="B3" s="177" t="str">
        <v>NOMBRE DEL PRODUCTO</v>
      </c>
      <c r="C3" s="178" t="str">
        <v>UNIDAD DE MEDIDA</v>
      </c>
      <c r="D3" s="178" t="str">
        <v>CANTIDAD  DE UNIDADES DE MEDIDA</v>
      </c>
    </row>
    <row r="4" spans="1:19" ht="15.75" thickBot="1" x14ac:dyDescent="0.3">
      <c r="B4" s="146" t="str">
        <v xml:space="preserve">Clip Galvanizado Dorado </v>
      </c>
      <c r="C4" s="147" t="str">
        <v xml:space="preserve"> Caja 100 uds </v>
      </c>
      <c r="D4" s="148">
        <v>14050</v>
      </c>
    </row>
    <row r="5" spans="1:19" ht="15.75" thickBot="1" x14ac:dyDescent="0.3">
      <c r="B5" s="146" t="str">
        <v xml:space="preserve">Clip Galvanizado Anaranjado </v>
      </c>
      <c r="C5" s="147" t="str">
        <v xml:space="preserve"> Caja 100 uds </v>
      </c>
      <c r="D5" s="148">
        <v>14060</v>
      </c>
    </row>
    <row r="6" spans="1:19" ht="15.75" thickBot="1" x14ac:dyDescent="0.3">
      <c r="B6" s="146" t="str">
        <v xml:space="preserve">Clip Plastificado Transparente </v>
      </c>
      <c r="C6" s="147" t="str">
        <v xml:space="preserve"> Caja 100 uds </v>
      </c>
      <c r="D6" s="148">
        <v>45485</v>
      </c>
    </row>
    <row r="7" spans="1:19" ht="15.75" thickBot="1" x14ac:dyDescent="0.3">
      <c r="B7" s="146" t="str">
        <v xml:space="preserve">Clip Plastificado Azul </v>
      </c>
      <c r="C7" s="147" t="str">
        <v xml:space="preserve"> Caja 100 uds </v>
      </c>
      <c r="D7" s="148">
        <v>45485</v>
      </c>
    </row>
    <row r="8" spans="1:19" ht="15.75" thickBot="1" x14ac:dyDescent="0.3">
      <c r="B8" s="149" t="str">
        <v>Suma</v>
      </c>
      <c r="C8" s="150">
        <v>0</v>
      </c>
      <c r="D8" s="151">
        <v>119080</v>
      </c>
    </row>
    <row r="10" spans="1:19" x14ac:dyDescent="0.25">
      <c r="M10" s="161"/>
      <c r="N10" s="161"/>
      <c r="O10" s="161"/>
      <c r="P10" s="161"/>
      <c r="Q10" s="161"/>
      <c r="R10" s="161"/>
      <c r="S10" s="161"/>
    </row>
    <row r="11" spans="1:19" ht="15.75" thickBot="1" x14ac:dyDescent="0.3">
      <c r="C11" t="s">
        <v>107</v>
      </c>
      <c r="L11" s="161"/>
    </row>
    <row r="12" spans="1:19" ht="15.75" thickBot="1" x14ac:dyDescent="0.3">
      <c r="B12" s="37">
        <v>0</v>
      </c>
      <c r="C12" s="203" t="s">
        <v>66</v>
      </c>
      <c r="D12" s="204"/>
      <c r="E12" s="204"/>
      <c r="F12" s="204"/>
      <c r="G12" s="204"/>
      <c r="H12" s="205"/>
      <c r="L12" s="161"/>
    </row>
    <row r="13" spans="1:19" ht="15.75" thickBot="1" x14ac:dyDescent="0.3">
      <c r="B13" s="125" t="s">
        <v>104</v>
      </c>
      <c r="C13" s="39" t="s">
        <v>32</v>
      </c>
      <c r="D13" s="40" t="s">
        <v>33</v>
      </c>
      <c r="E13" s="40" t="s">
        <v>34</v>
      </c>
      <c r="F13" s="40" t="s">
        <v>35</v>
      </c>
      <c r="G13" s="40" t="s">
        <v>36</v>
      </c>
      <c r="H13" s="40" t="s">
        <v>37</v>
      </c>
      <c r="L13" s="161"/>
    </row>
    <row r="14" spans="1:19" ht="34.5" thickBot="1" x14ac:dyDescent="0.3">
      <c r="B14" s="100" t="s">
        <v>100</v>
      </c>
      <c r="C14" s="42" t="s">
        <v>105</v>
      </c>
      <c r="D14" s="42" t="s">
        <v>75</v>
      </c>
      <c r="E14" s="42" t="s">
        <v>76</v>
      </c>
      <c r="F14" s="42" t="s">
        <v>75</v>
      </c>
      <c r="G14" s="42" t="s">
        <v>75</v>
      </c>
      <c r="H14" s="42" t="s">
        <v>77</v>
      </c>
      <c r="L14" s="161"/>
    </row>
    <row r="15" spans="1:19" ht="15.75" thickBot="1" x14ac:dyDescent="0.3">
      <c r="A15">
        <v>0</v>
      </c>
      <c r="B15" s="41" t="s">
        <v>78</v>
      </c>
      <c r="C15" s="43">
        <v>252.93</v>
      </c>
      <c r="D15" s="44">
        <v>42150</v>
      </c>
      <c r="E15" s="45"/>
      <c r="F15" s="45"/>
      <c r="G15" s="44">
        <f>D15</f>
        <v>42150</v>
      </c>
      <c r="H15" s="44">
        <f>G15/10</f>
        <v>4215</v>
      </c>
      <c r="L15" s="161"/>
    </row>
    <row r="16" spans="1:19" ht="15.75" thickBot="1" x14ac:dyDescent="0.3">
      <c r="B16" s="41" t="s">
        <v>79</v>
      </c>
      <c r="C16" s="43">
        <v>253.11</v>
      </c>
      <c r="D16" s="44">
        <v>42190</v>
      </c>
      <c r="E16" s="45"/>
      <c r="F16" s="45"/>
      <c r="G16" s="44">
        <f>D16</f>
        <v>42190</v>
      </c>
      <c r="H16" s="44">
        <f t="shared" ref="H16:H18" si="0">G16/10</f>
        <v>4219</v>
      </c>
      <c r="L16" s="161"/>
    </row>
    <row r="17" spans="2:12" ht="15.75" thickBot="1" x14ac:dyDescent="0.3">
      <c r="B17" s="41" t="s">
        <v>80</v>
      </c>
      <c r="C17" s="45"/>
      <c r="D17" s="45"/>
      <c r="E17" s="43">
        <v>363.9</v>
      </c>
      <c r="F17" s="44">
        <v>181950</v>
      </c>
      <c r="G17" s="44">
        <f>F17</f>
        <v>181950</v>
      </c>
      <c r="H17" s="44">
        <f t="shared" si="0"/>
        <v>18195</v>
      </c>
      <c r="L17" s="161"/>
    </row>
    <row r="18" spans="2:12" ht="15.75" thickBot="1" x14ac:dyDescent="0.3">
      <c r="B18" s="41" t="s">
        <v>81</v>
      </c>
      <c r="C18" s="45"/>
      <c r="D18" s="45"/>
      <c r="E18" s="43">
        <v>363.9</v>
      </c>
      <c r="F18" s="44">
        <v>181950</v>
      </c>
      <c r="G18" s="44">
        <f>F18</f>
        <v>181950</v>
      </c>
      <c r="H18" s="44">
        <f t="shared" si="0"/>
        <v>18195</v>
      </c>
    </row>
    <row r="19" spans="2:12" ht="15.75" thickBot="1" x14ac:dyDescent="0.3">
      <c r="B19" s="46" t="s">
        <v>82</v>
      </c>
      <c r="C19" s="129">
        <f t="shared" ref="C19:H19" si="1">SUM(C15:C18)</f>
        <v>506.04</v>
      </c>
      <c r="D19" s="129">
        <f t="shared" si="1"/>
        <v>84340</v>
      </c>
      <c r="E19" s="129">
        <f t="shared" si="1"/>
        <v>727.8</v>
      </c>
      <c r="F19" s="129">
        <f t="shared" si="1"/>
        <v>363900</v>
      </c>
      <c r="G19" s="129">
        <f t="shared" si="1"/>
        <v>448240</v>
      </c>
      <c r="H19" s="129">
        <f t="shared" si="1"/>
        <v>44824</v>
      </c>
    </row>
    <row r="21" spans="2:12" x14ac:dyDescent="0.25">
      <c r="D21" s="23"/>
    </row>
    <row r="25" spans="2:12" ht="15.75" thickBot="1" x14ac:dyDescent="0.3">
      <c r="B25" s="223" t="s">
        <v>101</v>
      </c>
      <c r="C25" s="223"/>
      <c r="D25" s="223"/>
      <c r="E25" s="223"/>
      <c r="F25" s="223"/>
      <c r="G25" s="223"/>
      <c r="H25" s="223"/>
      <c r="I25" s="223"/>
    </row>
    <row r="26" spans="2:12" ht="15.75" thickBot="1" x14ac:dyDescent="0.3">
      <c r="D26" s="197" t="s">
        <v>43</v>
      </c>
      <c r="E26" s="198"/>
      <c r="F26" s="198"/>
      <c r="G26" s="198"/>
      <c r="H26" s="198"/>
      <c r="I26" s="199"/>
    </row>
    <row r="27" spans="2:12" ht="24.75" thickBot="1" x14ac:dyDescent="0.3">
      <c r="B27" s="102" t="s">
        <v>19</v>
      </c>
      <c r="C27" s="103" t="s">
        <v>44</v>
      </c>
      <c r="D27" s="104" t="str">
        <f t="array" ref="D27:I27">C13:H13</f>
        <v>Mezclar</v>
      </c>
      <c r="E27" s="105" t="str">
        <v>Galvanizar</v>
      </c>
      <c r="F27" s="105" t="str">
        <v>Tintar</v>
      </c>
      <c r="G27" s="105" t="str">
        <v>Plastificar</v>
      </c>
      <c r="H27" s="105" t="str">
        <v>Manipular</v>
      </c>
      <c r="I27" s="105" t="str">
        <v>Envasar</v>
      </c>
    </row>
    <row r="28" spans="2:12" ht="15.75" thickBot="1" x14ac:dyDescent="0.3">
      <c r="B28" s="106" t="s">
        <v>123</v>
      </c>
      <c r="C28" s="107">
        <v>8640</v>
      </c>
      <c r="D28" s="104"/>
      <c r="E28" s="104"/>
      <c r="F28" s="104"/>
      <c r="G28" s="104"/>
      <c r="H28" s="108">
        <v>1</v>
      </c>
      <c r="I28" s="104"/>
      <c r="J28" s="77">
        <f>C28/$C$37</f>
        <v>1.472422748931471E-2</v>
      </c>
    </row>
    <row r="29" spans="2:12" ht="15.75" thickBot="1" x14ac:dyDescent="0.3">
      <c r="B29" s="106" t="s">
        <v>124</v>
      </c>
      <c r="C29" s="107">
        <v>86400</v>
      </c>
      <c r="D29" s="104"/>
      <c r="E29" s="104"/>
      <c r="F29" s="104"/>
      <c r="G29" s="108">
        <v>1</v>
      </c>
      <c r="H29" s="104"/>
      <c r="I29" s="104"/>
      <c r="J29" s="77">
        <f t="shared" ref="J29:J37" si="2">C29/$C$37</f>
        <v>0.14724227489314709</v>
      </c>
    </row>
    <row r="30" spans="2:12" ht="15.75" thickBot="1" x14ac:dyDescent="0.3">
      <c r="B30" s="106" t="s">
        <v>125</v>
      </c>
      <c r="C30" s="107">
        <v>1652</v>
      </c>
      <c r="D30" s="104"/>
      <c r="E30" s="104"/>
      <c r="F30" s="108">
        <v>1</v>
      </c>
      <c r="G30" s="104"/>
      <c r="H30" s="104"/>
      <c r="I30" s="104"/>
      <c r="J30" s="77">
        <f t="shared" si="2"/>
        <v>2.8153268301328591E-3</v>
      </c>
    </row>
    <row r="31" spans="2:12" ht="15.75" thickBot="1" x14ac:dyDescent="0.3">
      <c r="B31" s="106" t="s">
        <v>126</v>
      </c>
      <c r="C31" s="107">
        <v>17500</v>
      </c>
      <c r="D31" s="104"/>
      <c r="E31" s="108">
        <v>1</v>
      </c>
      <c r="F31" s="104"/>
      <c r="G31" s="104"/>
      <c r="H31" s="104"/>
      <c r="I31" s="104"/>
      <c r="J31" s="77">
        <f t="shared" si="2"/>
        <v>2.9823377437848082E-2</v>
      </c>
    </row>
    <row r="32" spans="2:12" ht="15.75" thickBot="1" x14ac:dyDescent="0.3">
      <c r="B32" s="106" t="s">
        <v>127</v>
      </c>
      <c r="C32" s="107">
        <v>7000</v>
      </c>
      <c r="D32" s="108">
        <v>1</v>
      </c>
      <c r="E32" s="104"/>
      <c r="F32" s="104"/>
      <c r="G32" s="104"/>
      <c r="H32" s="104"/>
      <c r="I32" s="104"/>
      <c r="J32" s="77">
        <f t="shared" si="2"/>
        <v>1.1929350975139233E-2</v>
      </c>
    </row>
    <row r="33" spans="2:10" ht="15.75" thickBot="1" x14ac:dyDescent="0.3">
      <c r="B33" s="106" t="s">
        <v>128</v>
      </c>
      <c r="C33" s="107">
        <v>37596</v>
      </c>
      <c r="D33" s="108">
        <v>0.06</v>
      </c>
      <c r="E33" s="108">
        <v>0.18</v>
      </c>
      <c r="F33" s="108">
        <v>0.05</v>
      </c>
      <c r="G33" s="108">
        <v>0.2</v>
      </c>
      <c r="H33" s="108">
        <v>0.39</v>
      </c>
      <c r="I33" s="108">
        <v>0.12</v>
      </c>
      <c r="J33" s="77">
        <f t="shared" si="2"/>
        <v>6.4070839894476372E-2</v>
      </c>
    </row>
    <row r="34" spans="2:10" ht="15.75" thickBot="1" x14ac:dyDescent="0.3">
      <c r="B34" s="106" t="s">
        <v>129</v>
      </c>
      <c r="C34" s="107">
        <v>260000</v>
      </c>
      <c r="D34" s="108">
        <v>0.06</v>
      </c>
      <c r="E34" s="108">
        <v>0.18</v>
      </c>
      <c r="F34" s="108">
        <v>0.05</v>
      </c>
      <c r="G34" s="108">
        <v>0.2</v>
      </c>
      <c r="H34" s="108">
        <v>0.51</v>
      </c>
      <c r="I34" s="104"/>
      <c r="J34" s="77">
        <f t="shared" si="2"/>
        <v>0.44309017907660009</v>
      </c>
    </row>
    <row r="35" spans="2:10" ht="15.75" thickBot="1" x14ac:dyDescent="0.3">
      <c r="B35" s="106" t="s">
        <v>28</v>
      </c>
      <c r="C35" s="107">
        <v>165000</v>
      </c>
      <c r="D35" s="108">
        <v>0.06</v>
      </c>
      <c r="E35" s="108">
        <v>0.18</v>
      </c>
      <c r="F35" s="108">
        <v>0.05</v>
      </c>
      <c r="G35" s="108">
        <v>0.2</v>
      </c>
      <c r="H35" s="108">
        <v>0.39</v>
      </c>
      <c r="I35" s="108">
        <v>0.12</v>
      </c>
      <c r="J35" s="77">
        <f t="shared" si="2"/>
        <v>0.28119184441399619</v>
      </c>
    </row>
    <row r="36" spans="2:10" ht="15.75" thickBot="1" x14ac:dyDescent="0.3">
      <c r="B36" s="106" t="s">
        <v>29</v>
      </c>
      <c r="C36" s="107">
        <v>3000</v>
      </c>
      <c r="D36" s="104"/>
      <c r="E36" s="104"/>
      <c r="F36" s="104"/>
      <c r="G36" s="104"/>
      <c r="H36" s="104"/>
      <c r="I36" s="108">
        <v>1</v>
      </c>
      <c r="J36" s="77">
        <f t="shared" si="2"/>
        <v>5.1125789893453856E-3</v>
      </c>
    </row>
    <row r="37" spans="2:10" ht="15.75" thickBot="1" x14ac:dyDescent="0.3">
      <c r="B37" s="106" t="s">
        <v>16</v>
      </c>
      <c r="C37" s="107">
        <v>586788</v>
      </c>
      <c r="J37" s="77">
        <f t="shared" si="2"/>
        <v>1</v>
      </c>
    </row>
    <row r="39" spans="2:10" ht="15.75" thickBot="1" x14ac:dyDescent="0.3">
      <c r="D39" s="136" t="s">
        <v>106</v>
      </c>
    </row>
    <row r="40" spans="2:10" ht="15.75" customHeight="1" thickBot="1" x14ac:dyDescent="0.3">
      <c r="B40" s="130"/>
      <c r="C40" s="130"/>
      <c r="D40" s="197" t="str">
        <f t="array" ref="D40:I41">'Datos Enunciado'!D38:I39</f>
        <v xml:space="preserve">NOMBRE DE LA ACTIVIDAD </v>
      </c>
      <c r="E40" s="198">
        <v>0</v>
      </c>
      <c r="F40" s="198">
        <v>0</v>
      </c>
      <c r="G40" s="198">
        <v>0</v>
      </c>
      <c r="H40" s="198">
        <v>0</v>
      </c>
      <c r="I40" s="199">
        <v>0</v>
      </c>
    </row>
    <row r="41" spans="2:10" ht="24.75" thickBot="1" x14ac:dyDescent="0.3">
      <c r="B41" s="101" t="str">
        <f t="array" ref="B41:C51">'Datos Enunciado'!B39:C49</f>
        <v xml:space="preserve">NOMBRE DEL FACTOR PRODUCTIVO </v>
      </c>
      <c r="C41" s="131" t="str">
        <v>Coste total (€)</v>
      </c>
      <c r="D41" s="104" t="str">
        <v>Mezclar</v>
      </c>
      <c r="E41" s="105" t="str">
        <v>Galvanizar</v>
      </c>
      <c r="F41" s="105" t="str">
        <v>Tintar</v>
      </c>
      <c r="G41" s="105" t="str">
        <v>Plastificar</v>
      </c>
      <c r="H41" s="105" t="str">
        <v>Manipular</v>
      </c>
      <c r="I41" s="105" t="str">
        <v>Envasar</v>
      </c>
    </row>
    <row r="42" spans="2:10" ht="15.75" thickBot="1" x14ac:dyDescent="0.3">
      <c r="B42" s="106" t="str">
        <v xml:space="preserve">Hilo Metálico </v>
      </c>
      <c r="C42" s="107">
        <v>8640</v>
      </c>
      <c r="D42" s="133">
        <f t="array" ref="D42:I50">'Datos Enunciado'!$C$40:$C$48*'Datos Enunciado'!$D$40:$I$48</f>
        <v>0</v>
      </c>
      <c r="E42" s="133">
        <v>0</v>
      </c>
      <c r="F42" s="133">
        <v>0</v>
      </c>
      <c r="G42" s="133">
        <v>0</v>
      </c>
      <c r="H42" s="133">
        <v>8640</v>
      </c>
      <c r="I42" s="133">
        <v>0</v>
      </c>
      <c r="J42" s="58">
        <f t="shared" ref="J42:J50" si="3">SUM(D42:I42)</f>
        <v>8640</v>
      </c>
    </row>
    <row r="43" spans="2:10" ht="15.75" thickBot="1" x14ac:dyDescent="0.3">
      <c r="B43" s="106" t="str">
        <v xml:space="preserve">Plástico transparente </v>
      </c>
      <c r="C43" s="107">
        <v>86400</v>
      </c>
      <c r="D43" s="133">
        <v>0</v>
      </c>
      <c r="E43" s="133">
        <v>0</v>
      </c>
      <c r="F43" s="133">
        <v>0</v>
      </c>
      <c r="G43" s="133">
        <v>86400</v>
      </c>
      <c r="H43" s="134">
        <v>0</v>
      </c>
      <c r="I43" s="133">
        <v>0</v>
      </c>
      <c r="J43" s="58">
        <f t="shared" si="3"/>
        <v>86400</v>
      </c>
    </row>
    <row r="44" spans="2:10" ht="15.75" thickBot="1" x14ac:dyDescent="0.3">
      <c r="B44" s="106" t="str">
        <v>Colorante Plástico</v>
      </c>
      <c r="C44" s="107">
        <v>1652</v>
      </c>
      <c r="D44" s="133">
        <v>0</v>
      </c>
      <c r="E44" s="133">
        <v>0</v>
      </c>
      <c r="F44" s="133">
        <v>1652</v>
      </c>
      <c r="G44" s="134">
        <v>0</v>
      </c>
      <c r="H44" s="133">
        <v>0</v>
      </c>
      <c r="I44" s="133">
        <v>0</v>
      </c>
      <c r="J44" s="58">
        <f t="shared" si="3"/>
        <v>1652</v>
      </c>
    </row>
    <row r="45" spans="2:10" ht="15.75" thickBot="1" x14ac:dyDescent="0.3">
      <c r="B45" s="106" t="str">
        <v>Liquido Galvanizador</v>
      </c>
      <c r="C45" s="107">
        <v>17500</v>
      </c>
      <c r="D45" s="134">
        <v>0</v>
      </c>
      <c r="E45" s="134">
        <v>17500</v>
      </c>
      <c r="F45" s="134">
        <v>0</v>
      </c>
      <c r="G45" s="133">
        <v>0</v>
      </c>
      <c r="H45" s="133">
        <v>0</v>
      </c>
      <c r="I45" s="133">
        <v>0</v>
      </c>
      <c r="J45" s="58">
        <f t="shared" si="3"/>
        <v>17500</v>
      </c>
    </row>
    <row r="46" spans="2:10" ht="15.75" thickBot="1" x14ac:dyDescent="0.3">
      <c r="B46" s="106" t="str">
        <v>Aditivos</v>
      </c>
      <c r="C46" s="107">
        <v>7000</v>
      </c>
      <c r="D46" s="133">
        <v>7000</v>
      </c>
      <c r="E46" s="133">
        <v>0</v>
      </c>
      <c r="F46" s="133">
        <v>0</v>
      </c>
      <c r="G46" s="133">
        <v>0</v>
      </c>
      <c r="H46" s="133">
        <v>0</v>
      </c>
      <c r="I46" s="133">
        <v>0</v>
      </c>
      <c r="J46" s="58">
        <f t="shared" si="3"/>
        <v>7000</v>
      </c>
    </row>
    <row r="47" spans="2:10" ht="15.75" thickBot="1" x14ac:dyDescent="0.3">
      <c r="B47" s="106" t="str">
        <v>Electricidad</v>
      </c>
      <c r="C47" s="107">
        <v>37596</v>
      </c>
      <c r="D47" s="133">
        <v>2255.7599999999998</v>
      </c>
      <c r="E47" s="133">
        <v>6767.28</v>
      </c>
      <c r="F47" s="133">
        <v>1879.8000000000002</v>
      </c>
      <c r="G47" s="133">
        <v>7519.2000000000007</v>
      </c>
      <c r="H47" s="133">
        <v>14662.44</v>
      </c>
      <c r="I47" s="133">
        <v>4511.5199999999995</v>
      </c>
      <c r="J47" s="58">
        <f t="shared" si="3"/>
        <v>37596</v>
      </c>
    </row>
    <row r="48" spans="2:10" ht="15.75" thickBot="1" x14ac:dyDescent="0.3">
      <c r="B48" s="106" t="str">
        <v>Operarios (Sueldo+ Cargas sociales)</v>
      </c>
      <c r="C48" s="107">
        <v>260000</v>
      </c>
      <c r="D48" s="134">
        <v>15600</v>
      </c>
      <c r="E48" s="134">
        <v>46800</v>
      </c>
      <c r="F48" s="134">
        <v>13000</v>
      </c>
      <c r="G48" s="134">
        <v>52000</v>
      </c>
      <c r="H48" s="134">
        <v>132600</v>
      </c>
      <c r="I48" s="134">
        <v>0</v>
      </c>
      <c r="J48" s="58">
        <f t="shared" si="3"/>
        <v>260000</v>
      </c>
    </row>
    <row r="49" spans="2:10" ht="15.75" thickBot="1" x14ac:dyDescent="0.3">
      <c r="B49" s="106" t="str">
        <v>Amortización maquinaria</v>
      </c>
      <c r="C49" s="107">
        <v>165000</v>
      </c>
      <c r="D49" s="134">
        <v>9900</v>
      </c>
      <c r="E49" s="134">
        <v>29700</v>
      </c>
      <c r="F49" s="134">
        <v>8250</v>
      </c>
      <c r="G49" s="134">
        <v>33000</v>
      </c>
      <c r="H49" s="134">
        <v>64350</v>
      </c>
      <c r="I49" s="133">
        <v>19800</v>
      </c>
      <c r="J49" s="58">
        <f t="shared" si="3"/>
        <v>165000</v>
      </c>
    </row>
    <row r="50" spans="2:10" ht="15.75" thickBot="1" x14ac:dyDescent="0.3">
      <c r="B50" s="106" t="str">
        <v>Cajas de cartón</v>
      </c>
      <c r="C50" s="107">
        <v>3000</v>
      </c>
      <c r="D50" s="134">
        <v>0</v>
      </c>
      <c r="E50" s="134">
        <v>0</v>
      </c>
      <c r="F50" s="134">
        <v>0</v>
      </c>
      <c r="G50" s="134">
        <v>0</v>
      </c>
      <c r="H50" s="134">
        <v>0</v>
      </c>
      <c r="I50" s="134">
        <v>3000</v>
      </c>
      <c r="J50" s="58">
        <f t="shared" si="3"/>
        <v>3000</v>
      </c>
    </row>
    <row r="51" spans="2:10" ht="15.75" thickBot="1" x14ac:dyDescent="0.3">
      <c r="B51" s="106" t="str">
        <v>Suma</v>
      </c>
      <c r="C51" s="132">
        <v>586788</v>
      </c>
      <c r="D51" s="135">
        <f>SUM(D42:D50)</f>
        <v>34755.760000000002</v>
      </c>
      <c r="E51" s="135">
        <f t="shared" ref="E51:I51" si="4">SUM(E42:E50)</f>
        <v>100767.28</v>
      </c>
      <c r="F51" s="135">
        <f t="shared" si="4"/>
        <v>24781.8</v>
      </c>
      <c r="G51" s="135">
        <f t="shared" si="4"/>
        <v>178919.2</v>
      </c>
      <c r="H51" s="135">
        <f t="shared" si="4"/>
        <v>220252.44</v>
      </c>
      <c r="I51" s="135">
        <f t="shared" si="4"/>
        <v>27311.52</v>
      </c>
      <c r="J51" s="58">
        <f>SUM(D51:I51)</f>
        <v>586788</v>
      </c>
    </row>
    <row r="53" spans="2:10" ht="15.75" thickBot="1" x14ac:dyDescent="0.3">
      <c r="D53" s="220" t="s">
        <v>108</v>
      </c>
      <c r="E53" s="220"/>
      <c r="F53" s="220"/>
      <c r="G53" s="220"/>
      <c r="H53" s="220"/>
      <c r="I53" s="220"/>
    </row>
    <row r="54" spans="2:10" ht="15.75" thickBot="1" x14ac:dyDescent="0.3">
      <c r="D54" s="217" t="str">
        <f t="array" ref="D54:I54">D40</f>
        <v xml:space="preserve">NOMBRE DE LA ACTIVIDAD </v>
      </c>
      <c r="E54" s="218" t="str">
        <v xml:space="preserve">NOMBRE DE LA ACTIVIDAD </v>
      </c>
      <c r="F54" s="218" t="str">
        <v xml:space="preserve">NOMBRE DE LA ACTIVIDAD </v>
      </c>
      <c r="G54" s="218" t="str">
        <v xml:space="preserve">NOMBRE DE LA ACTIVIDAD </v>
      </c>
      <c r="H54" s="218" t="str">
        <v xml:space="preserve">NOMBRE DE LA ACTIVIDAD </v>
      </c>
      <c r="I54" s="219" t="str">
        <v xml:space="preserve">NOMBRE DE LA ACTIVIDAD </v>
      </c>
    </row>
    <row r="55" spans="2:10" ht="24.75" thickBot="1" x14ac:dyDescent="0.3">
      <c r="B55" s="101" t="str">
        <f t="array" ref="B55:C65">B41:C51</f>
        <v xml:space="preserve">NOMBRE DEL FACTOR PRODUCTIVO </v>
      </c>
      <c r="C55" s="131" t="str">
        <v>Coste total (€)</v>
      </c>
      <c r="D55" s="102" t="str">
        <f t="array" ref="D55:I55">D27:I27&amp;" (%)"</f>
        <v>Mezclar (%)</v>
      </c>
      <c r="E55" s="102" t="str">
        <v>Galvanizar (%)</v>
      </c>
      <c r="F55" s="102" t="str">
        <v>Tintar (%)</v>
      </c>
      <c r="G55" s="102" t="str">
        <v>Plastificar (%)</v>
      </c>
      <c r="H55" s="102" t="str">
        <v>Manipular (%)</v>
      </c>
      <c r="I55" s="102" t="str">
        <v>Envasar (%)</v>
      </c>
    </row>
    <row r="56" spans="2:10" ht="15.75" thickBot="1" x14ac:dyDescent="0.3">
      <c r="B56" s="106" t="str">
        <v xml:space="preserve">Hilo Metálico </v>
      </c>
      <c r="C56" s="107">
        <v>8640</v>
      </c>
      <c r="D56" s="139">
        <f t="array" ref="D56:I64">D42:I50/D51:I51</f>
        <v>0</v>
      </c>
      <c r="E56" s="139">
        <v>0</v>
      </c>
      <c r="F56" s="139">
        <v>0</v>
      </c>
      <c r="G56" s="139">
        <v>0</v>
      </c>
      <c r="H56" s="139">
        <v>3.9227715252552933E-2</v>
      </c>
      <c r="I56" s="139">
        <v>0</v>
      </c>
    </row>
    <row r="57" spans="2:10" ht="15.75" thickBot="1" x14ac:dyDescent="0.3">
      <c r="B57" s="106" t="str">
        <v xml:space="preserve">Plástico transparente </v>
      </c>
      <c r="C57" s="107">
        <v>86400</v>
      </c>
      <c r="D57" s="139">
        <v>0</v>
      </c>
      <c r="E57" s="139">
        <v>0</v>
      </c>
      <c r="F57" s="139">
        <v>0</v>
      </c>
      <c r="G57" s="139">
        <v>0.48289954348107972</v>
      </c>
      <c r="H57" s="140">
        <v>0</v>
      </c>
      <c r="I57" s="139">
        <v>0</v>
      </c>
    </row>
    <row r="58" spans="2:10" ht="15.75" thickBot="1" x14ac:dyDescent="0.3">
      <c r="B58" s="106" t="str">
        <v>Colorante Plástico</v>
      </c>
      <c r="C58" s="107">
        <v>1652</v>
      </c>
      <c r="D58" s="139">
        <v>0</v>
      </c>
      <c r="E58" s="139">
        <v>0</v>
      </c>
      <c r="F58" s="139">
        <v>6.6661824403392814E-2</v>
      </c>
      <c r="G58" s="140">
        <v>0</v>
      </c>
      <c r="H58" s="139">
        <v>0</v>
      </c>
      <c r="I58" s="139">
        <v>0</v>
      </c>
    </row>
    <row r="59" spans="2:10" ht="15.75" thickBot="1" x14ac:dyDescent="0.3">
      <c r="B59" s="106" t="str">
        <v>Liquido Galvanizador</v>
      </c>
      <c r="C59" s="107">
        <v>17500</v>
      </c>
      <c r="D59" s="140">
        <v>0</v>
      </c>
      <c r="E59" s="140">
        <v>0.17366748412778435</v>
      </c>
      <c r="F59" s="140">
        <v>0</v>
      </c>
      <c r="G59" s="139">
        <v>0</v>
      </c>
      <c r="H59" s="139">
        <v>0</v>
      </c>
      <c r="I59" s="139">
        <v>0</v>
      </c>
    </row>
    <row r="60" spans="2:10" ht="15.75" thickBot="1" x14ac:dyDescent="0.3">
      <c r="B60" s="106" t="str">
        <v>Aditivos</v>
      </c>
      <c r="C60" s="107">
        <v>7000</v>
      </c>
      <c r="D60" s="139">
        <v>0.20140546487833957</v>
      </c>
      <c r="E60" s="139">
        <v>0</v>
      </c>
      <c r="F60" s="139">
        <v>0</v>
      </c>
      <c r="G60" s="139">
        <v>0</v>
      </c>
      <c r="H60" s="139">
        <v>0</v>
      </c>
      <c r="I60" s="139">
        <v>0</v>
      </c>
    </row>
    <row r="61" spans="2:10" ht="15.75" thickBot="1" x14ac:dyDescent="0.3">
      <c r="B61" s="106" t="str">
        <v>Electricidad</v>
      </c>
      <c r="C61" s="107">
        <v>37596</v>
      </c>
      <c r="D61" s="139">
        <v>6.4903198779137611E-2</v>
      </c>
      <c r="E61" s="139">
        <v>6.7157513827901277E-2</v>
      </c>
      <c r="F61" s="139">
        <v>7.5854054184926051E-2</v>
      </c>
      <c r="G61" s="139">
        <v>4.2025674159061749E-2</v>
      </c>
      <c r="H61" s="139">
        <v>6.6571067271717854E-2</v>
      </c>
      <c r="I61" s="139">
        <v>0.16518743738905778</v>
      </c>
    </row>
    <row r="62" spans="2:10" ht="15.75" thickBot="1" x14ac:dyDescent="0.3">
      <c r="B62" s="106" t="str">
        <v>Operarios (Sueldo+ Cargas sociales)</v>
      </c>
      <c r="C62" s="107">
        <v>260000</v>
      </c>
      <c r="D62" s="140">
        <v>0.4488464645860139</v>
      </c>
      <c r="E62" s="140">
        <v>0.46443647183887471</v>
      </c>
      <c r="F62" s="140">
        <v>0.52457852133420491</v>
      </c>
      <c r="G62" s="140">
        <v>0.29063398450250166</v>
      </c>
      <c r="H62" s="140">
        <v>0.60203646325098603</v>
      </c>
      <c r="I62" s="140">
        <v>0</v>
      </c>
    </row>
    <row r="63" spans="2:10" ht="15.75" thickBot="1" x14ac:dyDescent="0.3">
      <c r="B63" s="106" t="str">
        <v>Amortización maquinaria</v>
      </c>
      <c r="C63" s="107">
        <v>165000</v>
      </c>
      <c r="D63" s="140">
        <v>0.28484487175650886</v>
      </c>
      <c r="E63" s="140">
        <v>0.29473853020543972</v>
      </c>
      <c r="F63" s="140">
        <v>0.33290560007747622</v>
      </c>
      <c r="G63" s="140">
        <v>0.18444079785735684</v>
      </c>
      <c r="H63" s="140">
        <v>0.2921647542247432</v>
      </c>
      <c r="I63" s="139">
        <v>0.72496880437266031</v>
      </c>
    </row>
    <row r="64" spans="2:10" ht="15.75" thickBot="1" x14ac:dyDescent="0.3">
      <c r="B64" s="106" t="str">
        <v>Cajas de cartón</v>
      </c>
      <c r="C64" s="107">
        <v>3000</v>
      </c>
      <c r="D64" s="140">
        <v>0</v>
      </c>
      <c r="E64" s="140">
        <v>0</v>
      </c>
      <c r="F64" s="140">
        <v>0</v>
      </c>
      <c r="G64" s="140">
        <v>0</v>
      </c>
      <c r="H64" s="140">
        <v>0</v>
      </c>
      <c r="I64" s="140">
        <v>0.10984375823828187</v>
      </c>
    </row>
    <row r="65" spans="2:9" ht="15.75" thickBot="1" x14ac:dyDescent="0.3">
      <c r="B65" s="106" t="str">
        <v>Suma</v>
      </c>
      <c r="C65" s="132">
        <v>586788</v>
      </c>
      <c r="D65" s="138">
        <f>SUM(D56:D64)</f>
        <v>1</v>
      </c>
      <c r="E65" s="138">
        <f t="shared" ref="E65:I65" si="5">SUM(E56:E64)</f>
        <v>1</v>
      </c>
      <c r="F65" s="138">
        <f t="shared" si="5"/>
        <v>1</v>
      </c>
      <c r="G65" s="138">
        <f t="shared" si="5"/>
        <v>1</v>
      </c>
      <c r="H65" s="138">
        <f t="shared" si="5"/>
        <v>1</v>
      </c>
      <c r="I65" s="138">
        <f t="shared" si="5"/>
        <v>1</v>
      </c>
    </row>
    <row r="66" spans="2:9" x14ac:dyDescent="0.25">
      <c r="B66" s="196"/>
      <c r="C66" s="196"/>
      <c r="D66" s="196"/>
      <c r="E66" s="196"/>
      <c r="F66" s="196"/>
      <c r="G66" s="196"/>
      <c r="H66" s="196"/>
      <c r="I66" s="226"/>
    </row>
    <row r="69" spans="2:9" ht="15.75" thickBot="1" x14ac:dyDescent="0.3">
      <c r="B69" s="224" t="s">
        <v>109</v>
      </c>
      <c r="C69" s="224"/>
      <c r="D69" s="224"/>
      <c r="E69" s="224"/>
      <c r="F69" s="225"/>
      <c r="G69" s="224"/>
    </row>
    <row r="70" spans="2:9" ht="39" thickBot="1" x14ac:dyDescent="0.3">
      <c r="B70" s="109" t="str">
        <f t="array" ref="B70:C76">TRANSPOSE('Datos Enunciado'!$B$26:$H$27)</f>
        <v>Actividad</v>
      </c>
      <c r="C70" s="110" t="str">
        <v>Cost driver</v>
      </c>
      <c r="D70" s="110" t="s">
        <v>59</v>
      </c>
      <c r="E70" s="111" t="s">
        <v>60</v>
      </c>
      <c r="F70" s="137" t="s">
        <v>103</v>
      </c>
      <c r="G70" s="110" t="s">
        <v>61</v>
      </c>
    </row>
    <row r="71" spans="2:9" ht="15.75" thickBot="1" x14ac:dyDescent="0.3">
      <c r="B71" s="112" t="str">
        <v xml:space="preserve"> Mezclar </v>
      </c>
      <c r="C71" s="113" t="str">
        <v>Litros de líquido galvanizador</v>
      </c>
      <c r="D71" s="114">
        <f t="array" ref="D71:D76">TRANSPOSE('Datos Enunciado'!$C$33:$H$33)</f>
        <v>506.04</v>
      </c>
      <c r="E71" s="115">
        <f t="array" ref="E71:E76">TRANSPOSE($D$51:$I$51)</f>
        <v>34755.760000000002</v>
      </c>
      <c r="F71" s="116">
        <f>E71/$E$77</f>
        <v>5.9230522778243595E-2</v>
      </c>
      <c r="G71" s="128">
        <f>E71/D71</f>
        <v>68.681843332542883</v>
      </c>
      <c r="H71">
        <f t="array" ref="H71:H77">TRANSPOSE(C19:H19)</f>
        <v>506.04</v>
      </c>
      <c r="I71" t="b">
        <f>H71=D71</f>
        <v>1</v>
      </c>
    </row>
    <row r="72" spans="2:9" ht="15.75" thickBot="1" x14ac:dyDescent="0.3">
      <c r="B72" s="112" t="str">
        <v xml:space="preserve"> Galvanizar </v>
      </c>
      <c r="C72" s="118" t="str">
        <v>Metros de hilo</v>
      </c>
      <c r="D72" s="115">
        <v>84340</v>
      </c>
      <c r="E72" s="115">
        <v>100767.28</v>
      </c>
      <c r="F72" s="116">
        <f t="shared" ref="F72:F77" si="6">E72/$E$77</f>
        <v>0.17172689284716117</v>
      </c>
      <c r="G72" s="128">
        <f t="shared" ref="G72:G76" si="7">E72/D72</f>
        <v>1.1947744842304957</v>
      </c>
      <c r="H72">
        <v>84340</v>
      </c>
      <c r="I72" t="b">
        <f t="shared" ref="I72:I76" si="8">H72=D72</f>
        <v>1</v>
      </c>
    </row>
    <row r="73" spans="2:9" ht="15.75" thickBot="1" x14ac:dyDescent="0.3">
      <c r="B73" s="112" t="str">
        <v xml:space="preserve"> Tintar </v>
      </c>
      <c r="C73" s="118" t="str">
        <v>Kgs de plástico</v>
      </c>
      <c r="D73" s="114">
        <v>727.8</v>
      </c>
      <c r="E73" s="115">
        <v>24781.8</v>
      </c>
      <c r="F73" s="116">
        <f t="shared" si="6"/>
        <v>4.2232969999386492E-2</v>
      </c>
      <c r="G73" s="128">
        <f t="shared" si="7"/>
        <v>34.050288540807912</v>
      </c>
      <c r="H73">
        <v>727.8</v>
      </c>
      <c r="I73" t="b">
        <f t="shared" si="8"/>
        <v>1</v>
      </c>
    </row>
    <row r="74" spans="2:9" ht="15.75" thickBot="1" x14ac:dyDescent="0.3">
      <c r="B74" s="112" t="str">
        <v xml:space="preserve"> Plastificar </v>
      </c>
      <c r="C74" s="118" t="str">
        <v>Metros de hilo</v>
      </c>
      <c r="D74" s="115">
        <v>363900</v>
      </c>
      <c r="E74" s="115">
        <v>178919.2</v>
      </c>
      <c r="F74" s="116">
        <f t="shared" si="6"/>
        <v>0.30491284757016163</v>
      </c>
      <c r="G74" s="128">
        <f t="shared" si="7"/>
        <v>0.49167133827974724</v>
      </c>
      <c r="H74">
        <v>363900</v>
      </c>
      <c r="I74" t="b">
        <f t="shared" si="8"/>
        <v>1</v>
      </c>
    </row>
    <row r="75" spans="2:9" ht="15.75" thickBot="1" x14ac:dyDescent="0.3">
      <c r="B75" s="112" t="str">
        <v xml:space="preserve"> Manipular </v>
      </c>
      <c r="C75" s="118" t="str">
        <v>Metros de hilo</v>
      </c>
      <c r="D75" s="115">
        <v>448240</v>
      </c>
      <c r="E75" s="115">
        <v>220252.44</v>
      </c>
      <c r="F75" s="116">
        <f t="shared" si="6"/>
        <v>0.37535266569868503</v>
      </c>
      <c r="G75" s="128">
        <f t="shared" si="7"/>
        <v>0.49137167588791719</v>
      </c>
      <c r="H75">
        <v>448240</v>
      </c>
      <c r="I75" t="b">
        <f t="shared" si="8"/>
        <v>1</v>
      </c>
    </row>
    <row r="76" spans="2:9" ht="15.75" thickBot="1" x14ac:dyDescent="0.3">
      <c r="B76" s="112" t="str">
        <v xml:space="preserve"> Envasar </v>
      </c>
      <c r="C76" s="118" t="str">
        <v>Cajas</v>
      </c>
      <c r="D76" s="115">
        <v>44824</v>
      </c>
      <c r="E76" s="115">
        <v>27311.52</v>
      </c>
      <c r="F76" s="116">
        <f t="shared" si="6"/>
        <v>4.6544101106362097E-2</v>
      </c>
      <c r="G76" s="128">
        <f t="shared" si="7"/>
        <v>0.6093057290737105</v>
      </c>
      <c r="H76">
        <v>44824</v>
      </c>
      <c r="I76" t="b">
        <f t="shared" si="8"/>
        <v>1</v>
      </c>
    </row>
    <row r="77" spans="2:9" ht="15.75" thickBot="1" x14ac:dyDescent="0.3">
      <c r="B77" s="119"/>
      <c r="C77" s="120"/>
      <c r="D77" s="121"/>
      <c r="E77" s="122">
        <f>SUM(E71:E76)</f>
        <v>586788</v>
      </c>
      <c r="F77" s="116">
        <f t="shared" si="6"/>
        <v>1</v>
      </c>
      <c r="G77" s="117"/>
      <c r="H77" t="e">
        <v>#N/A</v>
      </c>
    </row>
    <row r="79" spans="2:9" x14ac:dyDescent="0.25">
      <c r="C79" s="221" t="s">
        <v>110</v>
      </c>
      <c r="D79" s="221"/>
      <c r="E79" s="221"/>
      <c r="F79" s="221"/>
      <c r="G79" s="221"/>
      <c r="H79" s="221"/>
      <c r="I79" s="221"/>
    </row>
    <row r="80" spans="2:9" ht="147.75" x14ac:dyDescent="0.25">
      <c r="B80" t="str">
        <f t="array" ref="B80:C86">$B$70:$C$76</f>
        <v>Actividad</v>
      </c>
      <c r="C80" s="126" t="str">
        <v>Cost driver</v>
      </c>
      <c r="D80" s="124" t="str">
        <f t="array" ref="D80:G80">TRANSPOSE($B$15:$B$18)</f>
        <v xml:space="preserve">Clip Galvanizado Dorado </v>
      </c>
      <c r="E80" s="124" t="str">
        <v xml:space="preserve">Clip Galvanizado Anaranjado </v>
      </c>
      <c r="F80" s="124" t="str">
        <v xml:space="preserve">Clip Plastificado Transparente </v>
      </c>
      <c r="G80" s="124" t="str">
        <v xml:space="preserve">Clip Plastificado Azul </v>
      </c>
      <c r="H80" s="124" t="s">
        <v>16</v>
      </c>
      <c r="I80" s="124" t="s">
        <v>111</v>
      </c>
    </row>
    <row r="81" spans="2:9" x14ac:dyDescent="0.25">
      <c r="B81" s="123" t="str">
        <v xml:space="preserve"> Mezclar </v>
      </c>
      <c r="C81" s="123" t="str">
        <v>Litros de líquido galvanizador</v>
      </c>
      <c r="D81" s="127">
        <f t="array" ref="D81:G86">TRANSPOSE('Datos Enunciado'!$C$29:$H$32)</f>
        <v>252.93</v>
      </c>
      <c r="E81" s="127">
        <v>253.11</v>
      </c>
      <c r="F81" s="127">
        <v>0</v>
      </c>
      <c r="G81" s="127">
        <v>0</v>
      </c>
      <c r="H81" s="127">
        <f t="array" ref="H81:H86">TRANSPOSE('Datos Enunciado'!$C$33:$H$33)</f>
        <v>506.04</v>
      </c>
      <c r="I81" s="195">
        <f t="array" ref="I81:I86">$G$71:$G$76</f>
        <v>68.681843332542883</v>
      </c>
    </row>
    <row r="82" spans="2:9" x14ac:dyDescent="0.25">
      <c r="B82" s="123" t="str">
        <v xml:space="preserve"> Galvanizar </v>
      </c>
      <c r="C82" s="123" t="str">
        <v>Metros de hilo</v>
      </c>
      <c r="D82" s="127">
        <v>42150</v>
      </c>
      <c r="E82" s="127">
        <v>42190</v>
      </c>
      <c r="F82" s="127">
        <v>0</v>
      </c>
      <c r="G82" s="127">
        <v>0</v>
      </c>
      <c r="H82" s="127">
        <v>84340</v>
      </c>
      <c r="I82" s="195">
        <v>1.1947744842304957</v>
      </c>
    </row>
    <row r="83" spans="2:9" x14ac:dyDescent="0.25">
      <c r="B83" s="123" t="str">
        <v xml:space="preserve"> Tintar </v>
      </c>
      <c r="C83" s="123" t="str">
        <v>Kgs de plástico</v>
      </c>
      <c r="D83" s="127">
        <v>0</v>
      </c>
      <c r="E83" s="127">
        <v>0</v>
      </c>
      <c r="F83" s="127">
        <v>363.9</v>
      </c>
      <c r="G83" s="127">
        <v>363.9</v>
      </c>
      <c r="H83" s="127">
        <v>727.8</v>
      </c>
      <c r="I83" s="195">
        <v>34.050288540807912</v>
      </c>
    </row>
    <row r="84" spans="2:9" x14ac:dyDescent="0.25">
      <c r="B84" s="123" t="str">
        <v xml:space="preserve"> Plastificar </v>
      </c>
      <c r="C84" s="123" t="str">
        <v>Metros de hilo</v>
      </c>
      <c r="D84" s="127">
        <v>0</v>
      </c>
      <c r="E84" s="127">
        <v>0</v>
      </c>
      <c r="F84" s="127">
        <v>181950</v>
      </c>
      <c r="G84" s="127">
        <v>181950</v>
      </c>
      <c r="H84" s="127">
        <v>363900</v>
      </c>
      <c r="I84" s="195">
        <v>0.49167133827974724</v>
      </c>
    </row>
    <row r="85" spans="2:9" x14ac:dyDescent="0.25">
      <c r="B85" s="123" t="str">
        <v xml:space="preserve"> Manipular </v>
      </c>
      <c r="C85" s="123" t="str">
        <v>Metros de hilo</v>
      </c>
      <c r="D85" s="127">
        <v>42150</v>
      </c>
      <c r="E85" s="127">
        <v>42190</v>
      </c>
      <c r="F85" s="127">
        <v>181950</v>
      </c>
      <c r="G85" s="127">
        <v>181950</v>
      </c>
      <c r="H85" s="127">
        <v>448240</v>
      </c>
      <c r="I85" s="195">
        <v>0.49137167588791719</v>
      </c>
    </row>
    <row r="86" spans="2:9" x14ac:dyDescent="0.25">
      <c r="B86" s="123" t="str">
        <v xml:space="preserve"> Envasar </v>
      </c>
      <c r="C86" s="123" t="str">
        <v>Cajas</v>
      </c>
      <c r="D86" s="127">
        <v>4215</v>
      </c>
      <c r="E86" s="127">
        <v>4219</v>
      </c>
      <c r="F86" s="127">
        <v>18195</v>
      </c>
      <c r="G86" s="127">
        <v>18195</v>
      </c>
      <c r="H86" s="127">
        <v>44824</v>
      </c>
      <c r="I86" s="195">
        <v>0.6093057290737105</v>
      </c>
    </row>
    <row r="89" spans="2:9" x14ac:dyDescent="0.25">
      <c r="C89" s="222" t="s">
        <v>113</v>
      </c>
      <c r="D89" s="222"/>
      <c r="E89" s="222"/>
      <c r="F89" s="222"/>
      <c r="G89" s="222"/>
      <c r="H89" s="222"/>
      <c r="I89" s="222"/>
    </row>
    <row r="90" spans="2:9" ht="147.75" x14ac:dyDescent="0.25">
      <c r="B90" t="str">
        <f t="array" ref="B90:C96">$B$80:$C$86</f>
        <v>Actividad</v>
      </c>
      <c r="C90" s="126" t="str">
        <v>Cost driver</v>
      </c>
      <c r="D90" s="124" t="str">
        <f t="array" ref="D90:H90">$D$80:$H$80</f>
        <v xml:space="preserve">Clip Galvanizado Dorado </v>
      </c>
      <c r="E90" s="124" t="str">
        <v xml:space="preserve">Clip Galvanizado Anaranjado </v>
      </c>
      <c r="F90" s="124" t="str">
        <v xml:space="preserve">Clip Plastificado Transparente </v>
      </c>
      <c r="G90" s="124" t="str">
        <v xml:space="preserve">Clip Plastificado Azul </v>
      </c>
      <c r="H90" s="124" t="str">
        <v>Total</v>
      </c>
      <c r="I90" s="141"/>
    </row>
    <row r="91" spans="2:9" x14ac:dyDescent="0.25">
      <c r="B91" s="123" t="str">
        <v xml:space="preserve"> Mezclar </v>
      </c>
      <c r="C91" s="123" t="str">
        <v>Litros de líquido galvanizador</v>
      </c>
      <c r="D91" s="127">
        <f t="array" ref="D91:H96">$D$81:$H$86*$I$81:$I$86</f>
        <v>17371.69863410007</v>
      </c>
      <c r="E91" s="127">
        <v>17384.061365899928</v>
      </c>
      <c r="F91" s="127">
        <v>0</v>
      </c>
      <c r="G91" s="127">
        <v>0</v>
      </c>
      <c r="H91" s="127">
        <v>34755.760000000002</v>
      </c>
    </row>
    <row r="92" spans="2:9" x14ac:dyDescent="0.25">
      <c r="B92" s="123" t="str">
        <v xml:space="preserve"> Galvanizar </v>
      </c>
      <c r="C92" s="123" t="str">
        <v>Metros de hilo</v>
      </c>
      <c r="D92" s="127">
        <v>50359.744510315395</v>
      </c>
      <c r="E92" s="127">
        <v>50407.535489684611</v>
      </c>
      <c r="F92" s="127">
        <v>0</v>
      </c>
      <c r="G92" s="127">
        <v>0</v>
      </c>
      <c r="H92" s="127">
        <v>100767.28000000001</v>
      </c>
    </row>
    <row r="93" spans="2:9" x14ac:dyDescent="0.25">
      <c r="B93" s="123" t="str">
        <v xml:space="preserve"> Tintar </v>
      </c>
      <c r="C93" s="123" t="str">
        <v>Kgs de plástico</v>
      </c>
      <c r="D93" s="127">
        <v>0</v>
      </c>
      <c r="E93" s="127">
        <v>0</v>
      </c>
      <c r="F93" s="127">
        <v>12390.899999999998</v>
      </c>
      <c r="G93" s="127">
        <v>12390.899999999998</v>
      </c>
      <c r="H93" s="127">
        <v>24781.799999999996</v>
      </c>
    </row>
    <row r="94" spans="2:9" x14ac:dyDescent="0.25">
      <c r="B94" s="123" t="str">
        <v xml:space="preserve"> Plastificar </v>
      </c>
      <c r="C94" s="123" t="str">
        <v>Metros de hilo</v>
      </c>
      <c r="D94" s="127">
        <v>0</v>
      </c>
      <c r="E94" s="127">
        <v>0</v>
      </c>
      <c r="F94" s="127">
        <v>89459.6</v>
      </c>
      <c r="G94" s="127">
        <v>89459.6</v>
      </c>
      <c r="H94" s="127">
        <v>178919.2</v>
      </c>
    </row>
    <row r="95" spans="2:9" x14ac:dyDescent="0.25">
      <c r="B95" s="123" t="str">
        <v xml:space="preserve"> Manipular </v>
      </c>
      <c r="C95" s="123" t="str">
        <v>Metros de hilo</v>
      </c>
      <c r="D95" s="127">
        <v>20711.316138675709</v>
      </c>
      <c r="E95" s="127">
        <v>20730.971005711228</v>
      </c>
      <c r="F95" s="127">
        <v>89405.076427806533</v>
      </c>
      <c r="G95" s="127">
        <v>89405.076427806533</v>
      </c>
      <c r="H95" s="127">
        <v>220252.44</v>
      </c>
    </row>
    <row r="96" spans="2:9" x14ac:dyDescent="0.25">
      <c r="B96" s="143" t="str">
        <v xml:space="preserve"> Envasar </v>
      </c>
      <c r="C96" s="143" t="str">
        <v>Cajas</v>
      </c>
      <c r="D96" s="127">
        <v>2568.22364804569</v>
      </c>
      <c r="E96" s="127">
        <v>2570.6608709619845</v>
      </c>
      <c r="F96" s="127">
        <v>11086.317740496163</v>
      </c>
      <c r="G96" s="127">
        <v>11086.317740496163</v>
      </c>
      <c r="H96" s="127">
        <v>27311.52</v>
      </c>
    </row>
    <row r="97" spans="2:8" x14ac:dyDescent="0.25">
      <c r="B97" s="144" t="s">
        <v>112</v>
      </c>
      <c r="C97" s="142"/>
      <c r="D97" s="145">
        <f>SUM(D91:D96)</f>
        <v>91010.982931136867</v>
      </c>
      <c r="E97" s="145">
        <f t="shared" ref="E97:H97" si="9">SUM(E91:E96)</f>
        <v>91093.228732257747</v>
      </c>
      <c r="F97" s="145">
        <f t="shared" si="9"/>
        <v>202341.89416830268</v>
      </c>
      <c r="G97" s="145">
        <f t="shared" si="9"/>
        <v>202341.89416830268</v>
      </c>
      <c r="H97" s="145">
        <f t="shared" si="9"/>
        <v>586788</v>
      </c>
    </row>
    <row r="100" spans="2:8" x14ac:dyDescent="0.25">
      <c r="D100" t="s">
        <v>131</v>
      </c>
    </row>
    <row r="101" spans="2:8" ht="147.75" x14ac:dyDescent="0.25">
      <c r="D101" s="124" t="str">
        <f t="array" ref="D101:G101">D90:G90</f>
        <v xml:space="preserve">Clip Galvanizado Dorado </v>
      </c>
      <c r="E101" s="124" t="str">
        <v xml:space="preserve">Clip Galvanizado Anaranjado </v>
      </c>
      <c r="F101" s="124" t="str">
        <v xml:space="preserve">Clip Plastificado Transparente </v>
      </c>
      <c r="G101" s="124" t="str">
        <v xml:space="preserve">Clip Plastificado Azul </v>
      </c>
      <c r="H101" s="124" t="s">
        <v>16</v>
      </c>
    </row>
    <row r="102" spans="2:8" x14ac:dyDescent="0.25">
      <c r="C102" s="123" t="s">
        <v>115</v>
      </c>
      <c r="D102" s="153">
        <f t="array" ref="D102:G102">D97:G97</f>
        <v>91010.982931136867</v>
      </c>
      <c r="E102" s="153">
        <v>91093.228732257747</v>
      </c>
      <c r="F102" s="153">
        <v>202341.89416830268</v>
      </c>
      <c r="G102" s="153">
        <v>202341.89416830268</v>
      </c>
      <c r="H102" s="153">
        <f>SUM(D102:G102)</f>
        <v>586788</v>
      </c>
    </row>
    <row r="103" spans="2:8" x14ac:dyDescent="0.25">
      <c r="C103" s="123" t="s">
        <v>114</v>
      </c>
      <c r="D103" s="154">
        <f t="array" ref="D103:G103">TRANSPOSE($D$4:$D$7)</f>
        <v>14050</v>
      </c>
      <c r="E103" s="154">
        <v>14060</v>
      </c>
      <c r="F103" s="154">
        <v>45485</v>
      </c>
      <c r="G103" s="154">
        <v>45485</v>
      </c>
      <c r="H103" s="153">
        <f>SUM(D103:G103)</f>
        <v>119080</v>
      </c>
    </row>
    <row r="104" spans="2:8" x14ac:dyDescent="0.25">
      <c r="C104" s="123" t="s">
        <v>116</v>
      </c>
      <c r="D104" s="152">
        <f>D102/D103</f>
        <v>6.477650030685898</v>
      </c>
      <c r="E104" s="152">
        <f t="shared" ref="E104:H104" si="10">E102/E103</f>
        <v>6.4788925129628554</v>
      </c>
      <c r="F104" s="152">
        <f t="shared" si="10"/>
        <v>4.4485411491327396</v>
      </c>
      <c r="G104" s="152">
        <f t="shared" si="10"/>
        <v>4.4485411491327396</v>
      </c>
      <c r="H104" s="152">
        <f t="shared" si="10"/>
        <v>4.9276788713469939</v>
      </c>
    </row>
    <row r="107" spans="2:8" x14ac:dyDescent="0.25">
      <c r="C107" t="s">
        <v>130</v>
      </c>
    </row>
    <row r="108" spans="2:8" ht="147.75" x14ac:dyDescent="0.25">
      <c r="B108" t="str">
        <f t="array" ref="B108:C115">B90:C97</f>
        <v>Actividad</v>
      </c>
      <c r="C108" s="126" t="str">
        <v>Cost driver</v>
      </c>
      <c r="D108" s="124" t="str">
        <f t="array" ref="D108:H108">D90:H90</f>
        <v xml:space="preserve">Clip Galvanizado Dorado </v>
      </c>
      <c r="E108" s="124" t="str">
        <v xml:space="preserve">Clip Galvanizado Anaranjado </v>
      </c>
      <c r="F108" s="124" t="str">
        <v xml:space="preserve">Clip Plastificado Transparente </v>
      </c>
      <c r="G108" s="124" t="str">
        <v xml:space="preserve">Clip Plastificado Azul </v>
      </c>
      <c r="H108" s="157" t="str">
        <v>Total</v>
      </c>
    </row>
    <row r="109" spans="2:8" x14ac:dyDescent="0.25">
      <c r="B109" s="123" t="str">
        <v xml:space="preserve"> Mezclar </v>
      </c>
      <c r="C109" s="123" t="str">
        <v>Litros de líquido galvanizador</v>
      </c>
      <c r="D109" s="176">
        <f t="array" ref="D109:G115">$D$91:$G$97/$D$97:$G$97</f>
        <v>0.19087475021827094</v>
      </c>
      <c r="E109" s="176">
        <v>0.19083812933006644</v>
      </c>
      <c r="F109" s="176">
        <v>0</v>
      </c>
      <c r="G109" s="176">
        <v>0</v>
      </c>
      <c r="H109" s="158"/>
    </row>
    <row r="110" spans="2:8" x14ac:dyDescent="0.25">
      <c r="B110" s="123" t="str">
        <v xml:space="preserve"> Galvanizar </v>
      </c>
      <c r="C110" s="123" t="str">
        <v>Metros de hilo</v>
      </c>
      <c r="D110" s="176">
        <v>0.55333700272658204</v>
      </c>
      <c r="E110" s="176">
        <v>0.55336204667685029</v>
      </c>
      <c r="F110" s="176">
        <v>0</v>
      </c>
      <c r="G110" s="176">
        <v>0</v>
      </c>
      <c r="H110" s="158"/>
    </row>
    <row r="111" spans="2:8" x14ac:dyDescent="0.25">
      <c r="B111" s="123" t="str">
        <v xml:space="preserve"> Tintar </v>
      </c>
      <c r="C111" s="123" t="str">
        <v>Kgs de plástico</v>
      </c>
      <c r="D111" s="176">
        <v>0</v>
      </c>
      <c r="E111" s="176">
        <v>0</v>
      </c>
      <c r="F111" s="176">
        <v>6.123744195897253E-2</v>
      </c>
      <c r="G111" s="176">
        <v>6.123744195897253E-2</v>
      </c>
      <c r="H111" s="158"/>
    </row>
    <row r="112" spans="2:8" x14ac:dyDescent="0.25">
      <c r="B112" s="123" t="str">
        <v xml:space="preserve"> Plastificar </v>
      </c>
      <c r="C112" s="123" t="str">
        <v>Metros de hilo</v>
      </c>
      <c r="D112" s="176">
        <v>0</v>
      </c>
      <c r="E112" s="176">
        <v>0</v>
      </c>
      <c r="F112" s="176">
        <v>0.44212099707631408</v>
      </c>
      <c r="G112" s="176">
        <v>0.44212099707631408</v>
      </c>
      <c r="H112" s="158"/>
    </row>
    <row r="113" spans="2:8" x14ac:dyDescent="0.25">
      <c r="B113" s="123" t="str">
        <v xml:space="preserve"> Manipular </v>
      </c>
      <c r="C113" s="123" t="str">
        <v>Metros de hilo</v>
      </c>
      <c r="D113" s="176">
        <v>0.22756941493914917</v>
      </c>
      <c r="E113" s="176">
        <v>0.22757971469695001</v>
      </c>
      <c r="F113" s="176">
        <v>0.44185153447976394</v>
      </c>
      <c r="G113" s="176">
        <v>0.44185153447976394</v>
      </c>
      <c r="H113" s="158"/>
    </row>
    <row r="114" spans="2:8" x14ac:dyDescent="0.25">
      <c r="B114" s="143" t="str">
        <v xml:space="preserve"> Envasar </v>
      </c>
      <c r="C114" s="143" t="str">
        <v>Cajas</v>
      </c>
      <c r="D114" s="176">
        <v>2.821883211599777E-2</v>
      </c>
      <c r="E114" s="176">
        <v>2.8220109296133309E-2</v>
      </c>
      <c r="F114" s="176">
        <v>5.4790026484949551E-2</v>
      </c>
      <c r="G114" s="176">
        <v>5.4790026484949551E-2</v>
      </c>
      <c r="H114" s="158"/>
    </row>
    <row r="115" spans="2:8" x14ac:dyDescent="0.25">
      <c r="B115" s="144" t="str">
        <v>Total coste producción</v>
      </c>
      <c r="C115" s="156">
        <v>0</v>
      </c>
      <c r="D115" s="155">
        <v>1</v>
      </c>
      <c r="E115" s="155">
        <v>1</v>
      </c>
      <c r="F115" s="155">
        <v>1</v>
      </c>
      <c r="G115" s="160">
        <v>1</v>
      </c>
      <c r="H115" s="159"/>
    </row>
    <row r="119" spans="2:8" ht="147.75" x14ac:dyDescent="0.25">
      <c r="B119" t="str">
        <f t="array" ref="B119:C126">B90:$C$97</f>
        <v>Actividad</v>
      </c>
      <c r="C119" s="126" t="str">
        <v>Cost driver</v>
      </c>
      <c r="D119" s="124" t="str">
        <f t="array" ref="D119:G119">D90:$G$90</f>
        <v xml:space="preserve">Clip Galvanizado Dorado </v>
      </c>
      <c r="E119" s="124" t="str">
        <v xml:space="preserve">Clip Galvanizado Anaranjado </v>
      </c>
      <c r="F119" s="124" t="str">
        <v xml:space="preserve">Clip Plastificado Transparente </v>
      </c>
      <c r="G119" s="124" t="str">
        <v xml:space="preserve">Clip Plastificado Azul </v>
      </c>
    </row>
    <row r="120" spans="2:8" x14ac:dyDescent="0.25">
      <c r="B120" s="123" t="str">
        <v xml:space="preserve"> Mezclar </v>
      </c>
      <c r="C120" s="123" t="str">
        <v>Litros de líquido galvanizador</v>
      </c>
      <c r="D120" s="173">
        <f t="array" ref="D120:G126">$D$91:$H$97/$D$127:$G$127</f>
        <v>1.236419831608546</v>
      </c>
      <c r="E120" s="173">
        <v>1.2364197273044046</v>
      </c>
      <c r="F120" s="173">
        <v>0</v>
      </c>
      <c r="G120" s="173">
        <v>0</v>
      </c>
    </row>
    <row r="121" spans="2:8" x14ac:dyDescent="0.25">
      <c r="B121" s="123" t="str">
        <v xml:space="preserve"> Galvanizar </v>
      </c>
      <c r="C121" s="123" t="str">
        <v>Metros de hilo</v>
      </c>
      <c r="D121" s="173">
        <v>3.5843234526914873</v>
      </c>
      <c r="E121" s="173">
        <v>3.5851732211724476</v>
      </c>
      <c r="F121" s="173">
        <v>0</v>
      </c>
      <c r="G121" s="173">
        <v>0</v>
      </c>
    </row>
    <row r="122" spans="2:8" x14ac:dyDescent="0.25">
      <c r="B122" s="123" t="str">
        <v xml:space="preserve"> Tintar </v>
      </c>
      <c r="C122" s="123" t="str">
        <v>Kgs de plástico</v>
      </c>
      <c r="D122" s="173">
        <v>0</v>
      </c>
      <c r="E122" s="173">
        <v>0</v>
      </c>
      <c r="F122" s="173">
        <v>0.27241728042211716</v>
      </c>
      <c r="G122" s="173">
        <v>0.27241728042211716</v>
      </c>
    </row>
    <row r="123" spans="2:8" x14ac:dyDescent="0.25">
      <c r="B123" s="123" t="str">
        <v xml:space="preserve"> Plastificar </v>
      </c>
      <c r="C123" s="123" t="str">
        <v>Metros de hilo</v>
      </c>
      <c r="D123" s="173">
        <v>0</v>
      </c>
      <c r="E123" s="173">
        <v>0</v>
      </c>
      <c r="F123" s="173">
        <v>1.966793448389579</v>
      </c>
      <c r="G123" s="173">
        <v>1.966793448389579</v>
      </c>
    </row>
    <row r="124" spans="2:8" x14ac:dyDescent="0.25">
      <c r="B124" s="123" t="str">
        <v xml:space="preserve"> Manipular </v>
      </c>
      <c r="C124" s="123" t="str">
        <v>Metros de hilo</v>
      </c>
      <c r="D124" s="173">
        <v>1.4741150276637516</v>
      </c>
      <c r="E124" s="173">
        <v>1.4744645096522921</v>
      </c>
      <c r="F124" s="173">
        <v>1.9655947329406736</v>
      </c>
      <c r="G124" s="173">
        <v>1.9655947329406736</v>
      </c>
    </row>
    <row r="125" spans="2:8" x14ac:dyDescent="0.25">
      <c r="B125" s="143" t="str">
        <v xml:space="preserve"> Envasar </v>
      </c>
      <c r="C125" s="143" t="str">
        <v>Cajas</v>
      </c>
      <c r="D125" s="173">
        <v>0.18279171872211317</v>
      </c>
      <c r="E125" s="173">
        <v>0.18283505483371157</v>
      </c>
      <c r="F125" s="173">
        <v>0.24373568738037071</v>
      </c>
      <c r="G125" s="173">
        <v>0.24373568738037071</v>
      </c>
    </row>
    <row r="126" spans="2:8" x14ac:dyDescent="0.25">
      <c r="B126" s="144" t="str">
        <v>Total coste producción</v>
      </c>
      <c r="C126" s="156">
        <v>0</v>
      </c>
      <c r="D126" s="174">
        <v>6.477650030685898</v>
      </c>
      <c r="E126" s="174">
        <v>6.4788925129628554</v>
      </c>
      <c r="F126" s="174">
        <v>4.4485411491327396</v>
      </c>
      <c r="G126" s="175">
        <v>4.4485411491327396</v>
      </c>
    </row>
    <row r="127" spans="2:8" x14ac:dyDescent="0.25">
      <c r="B127" s="214" t="s">
        <v>132</v>
      </c>
      <c r="C127" s="214"/>
      <c r="D127" s="162">
        <f t="array" ref="D127:G127">TRANSPOSE(D4:D7)</f>
        <v>14050</v>
      </c>
      <c r="E127" s="162">
        <v>14060</v>
      </c>
      <c r="F127" s="162">
        <v>45485</v>
      </c>
      <c r="G127" s="162">
        <v>45485</v>
      </c>
    </row>
    <row r="132" spans="2:7" x14ac:dyDescent="0.25">
      <c r="C132" t="s">
        <v>133</v>
      </c>
    </row>
    <row r="133" spans="2:7" ht="160.5" customHeight="1" x14ac:dyDescent="0.25">
      <c r="B133" t="str">
        <f t="array" ref="B133:C141">B119:C127</f>
        <v>Actividad</v>
      </c>
      <c r="C133" s="126" t="str">
        <v>Cost driver</v>
      </c>
      <c r="D133" s="163" t="str">
        <f>D119&amp;"-Plastificado transparente"</f>
        <v>Clip Galvanizado Dorado -Plastificado transparente</v>
      </c>
      <c r="E133" s="163" t="str">
        <f>E119&amp;"-Plastificado transparente"</f>
        <v>Clip Galvanizado Anaranjado -Plastificado transparente</v>
      </c>
    </row>
    <row r="134" spans="2:7" x14ac:dyDescent="0.25">
      <c r="B134" s="123" t="str">
        <v xml:space="preserve"> Mezclar </v>
      </c>
      <c r="C134" s="123" t="str">
        <v>Litros de líquido galvanizador</v>
      </c>
      <c r="D134" s="173">
        <f>D120</f>
        <v>1.236419831608546</v>
      </c>
      <c r="E134" s="173">
        <f>E120</f>
        <v>1.2364197273044046</v>
      </c>
      <c r="F134" s="215">
        <f>D134+D135</f>
        <v>4.8207432843000335</v>
      </c>
      <c r="G134" s="215">
        <f>E134+E135</f>
        <v>4.8215929484768525</v>
      </c>
    </row>
    <row r="135" spans="2:7" x14ac:dyDescent="0.25">
      <c r="B135" s="123" t="str">
        <v xml:space="preserve"> Galvanizar </v>
      </c>
      <c r="C135" s="123" t="str">
        <v>Metros de hilo</v>
      </c>
      <c r="D135" s="173">
        <f>D121</f>
        <v>3.5843234526914873</v>
      </c>
      <c r="E135" s="173">
        <f>E121</f>
        <v>3.5851732211724476</v>
      </c>
      <c r="F135" s="216"/>
      <c r="G135" s="216"/>
    </row>
    <row r="136" spans="2:7" x14ac:dyDescent="0.25">
      <c r="B136" s="123" t="str">
        <v xml:space="preserve"> Tintar </v>
      </c>
      <c r="C136" s="123" t="str">
        <v>Kgs de plástico</v>
      </c>
      <c r="D136" s="173">
        <f>F122</f>
        <v>0.27241728042211716</v>
      </c>
      <c r="E136" s="173">
        <f>G122</f>
        <v>0.27241728042211716</v>
      </c>
      <c r="F136" s="215">
        <f>D136+D137</f>
        <v>2.2392107288116962</v>
      </c>
      <c r="G136" s="215">
        <f>E136+E137</f>
        <v>2.2392107288116962</v>
      </c>
    </row>
    <row r="137" spans="2:7" x14ac:dyDescent="0.25">
      <c r="B137" s="123" t="str">
        <v xml:space="preserve"> Plastificar </v>
      </c>
      <c r="C137" s="123" t="str">
        <v>Metros de hilo</v>
      </c>
      <c r="D137" s="173">
        <f t="shared" ref="D137:E137" si="11">F123</f>
        <v>1.966793448389579</v>
      </c>
      <c r="E137" s="173">
        <f t="shared" si="11"/>
        <v>1.966793448389579</v>
      </c>
      <c r="F137" s="216"/>
      <c r="G137" s="216"/>
    </row>
    <row r="138" spans="2:7" x14ac:dyDescent="0.25">
      <c r="B138" s="123" t="str">
        <v xml:space="preserve"> Manipular </v>
      </c>
      <c r="C138" s="123" t="str">
        <v>Metros de hilo</v>
      </c>
      <c r="D138" s="173">
        <f t="shared" ref="D138:E138" si="12">F124</f>
        <v>1.9655947329406736</v>
      </c>
      <c r="E138" s="173">
        <f t="shared" si="12"/>
        <v>1.9655947329406736</v>
      </c>
    </row>
    <row r="139" spans="2:7" x14ac:dyDescent="0.25">
      <c r="B139" s="143" t="str">
        <v xml:space="preserve"> Envasar </v>
      </c>
      <c r="C139" s="143" t="str">
        <v>Cajas</v>
      </c>
      <c r="D139" s="173">
        <f t="shared" ref="D139:E139" si="13">F125</f>
        <v>0.24373568738037071</v>
      </c>
      <c r="E139" s="173">
        <f t="shared" si="13"/>
        <v>0.24373568738037071</v>
      </c>
    </row>
    <row r="140" spans="2:7" x14ac:dyDescent="0.25">
      <c r="B140" s="144" t="str">
        <v>Total coste producción</v>
      </c>
      <c r="C140" s="156">
        <v>0</v>
      </c>
      <c r="D140" s="174">
        <f>SUM(D134:D139)</f>
        <v>9.2692844334327731</v>
      </c>
      <c r="E140" s="174">
        <f>SUM(E134:E139)</f>
        <v>9.2701340976095921</v>
      </c>
    </row>
    <row r="141" spans="2:7" x14ac:dyDescent="0.25">
      <c r="B141" s="214" t="str">
        <v>Unidades Producidas</v>
      </c>
      <c r="C141" s="214">
        <v>0</v>
      </c>
      <c r="D141" s="162">
        <v>1</v>
      </c>
      <c r="E141" s="162">
        <v>1</v>
      </c>
    </row>
    <row r="144" spans="2:7" ht="15.75" thickBot="1" x14ac:dyDescent="0.3">
      <c r="B144" t="s">
        <v>134</v>
      </c>
    </row>
    <row r="145" spans="2:7" ht="15.75" thickBot="1" x14ac:dyDescent="0.3">
      <c r="C145" s="212" t="s">
        <v>92</v>
      </c>
      <c r="D145" s="213"/>
      <c r="E145" s="164"/>
      <c r="F145" s="212" t="s">
        <v>93</v>
      </c>
      <c r="G145" s="213"/>
    </row>
    <row r="146" spans="2:7" ht="15.75" thickBot="1" x14ac:dyDescent="0.3">
      <c r="B146" s="20" t="str">
        <f t="array" ref="B146:B156">B41:B51</f>
        <v xml:space="preserve">NOMBRE DEL FACTOR PRODUCTIVO </v>
      </c>
      <c r="C146" s="165" t="str">
        <f t="array" ref="C146:C156">H41:H51</f>
        <v>Manipular</v>
      </c>
      <c r="D146" s="165" t="s">
        <v>91</v>
      </c>
      <c r="E146" s="165" t="s">
        <v>94</v>
      </c>
      <c r="F146" s="165" t="s">
        <v>36</v>
      </c>
      <c r="G146" s="165" t="s">
        <v>91</v>
      </c>
    </row>
    <row r="147" spans="2:7" ht="15.75" thickBot="1" x14ac:dyDescent="0.3">
      <c r="B147" s="22" t="str">
        <v xml:space="preserve">Hilo Metálico </v>
      </c>
      <c r="C147" s="24">
        <v>8640</v>
      </c>
      <c r="D147" s="166">
        <f>C147/$C$156</f>
        <v>3.9227715252552933E-2</v>
      </c>
      <c r="E147" s="166">
        <v>0</v>
      </c>
      <c r="F147" s="75">
        <f>C147*(1+E147)</f>
        <v>8640</v>
      </c>
      <c r="G147" s="167">
        <f>F147/$F$156</f>
        <v>7.038127295089322E-2</v>
      </c>
    </row>
    <row r="148" spans="2:7" ht="15.75" thickBot="1" x14ac:dyDescent="0.3">
      <c r="B148" s="22" t="str">
        <v xml:space="preserve">Plástico transparente </v>
      </c>
      <c r="C148" s="168">
        <v>0</v>
      </c>
      <c r="D148" s="166">
        <f t="shared" ref="D148:D155" si="14">C148/$C$156</f>
        <v>0</v>
      </c>
      <c r="E148" s="166">
        <v>0</v>
      </c>
      <c r="F148" s="75">
        <f t="shared" ref="F148:F155" si="15">C148*(1+E148)</f>
        <v>0</v>
      </c>
      <c r="G148" s="167">
        <f t="shared" ref="G148:G156" si="16">F148/$F$156</f>
        <v>0</v>
      </c>
    </row>
    <row r="149" spans="2:7" ht="15.75" thickBot="1" x14ac:dyDescent="0.3">
      <c r="B149" s="22" t="str">
        <v>Colorante Plástico</v>
      </c>
      <c r="C149" s="168">
        <v>0</v>
      </c>
      <c r="D149" s="166">
        <f t="shared" si="14"/>
        <v>0</v>
      </c>
      <c r="E149" s="166">
        <v>0</v>
      </c>
      <c r="F149" s="75">
        <f t="shared" si="15"/>
        <v>0</v>
      </c>
      <c r="G149" s="167">
        <f t="shared" si="16"/>
        <v>0</v>
      </c>
    </row>
    <row r="150" spans="2:7" ht="15.75" thickBot="1" x14ac:dyDescent="0.3">
      <c r="B150" s="22" t="str">
        <v>Liquido Galvanizador</v>
      </c>
      <c r="C150" s="168">
        <v>0</v>
      </c>
      <c r="D150" s="166">
        <f t="shared" si="14"/>
        <v>0</v>
      </c>
      <c r="E150" s="166">
        <v>0</v>
      </c>
      <c r="F150" s="75">
        <f t="shared" si="15"/>
        <v>0</v>
      </c>
      <c r="G150" s="167">
        <f t="shared" si="16"/>
        <v>0</v>
      </c>
    </row>
    <row r="151" spans="2:7" ht="15.75" thickBot="1" x14ac:dyDescent="0.3">
      <c r="B151" s="22" t="str">
        <v>Aditivos</v>
      </c>
      <c r="C151" s="168">
        <v>0</v>
      </c>
      <c r="D151" s="166">
        <f t="shared" si="14"/>
        <v>0</v>
      </c>
      <c r="E151" s="166">
        <v>0</v>
      </c>
      <c r="F151" s="75">
        <f t="shared" si="15"/>
        <v>0</v>
      </c>
      <c r="G151" s="167">
        <f t="shared" si="16"/>
        <v>0</v>
      </c>
    </row>
    <row r="152" spans="2:7" ht="15.75" thickBot="1" x14ac:dyDescent="0.3">
      <c r="B152" s="22" t="str">
        <v>Electricidad</v>
      </c>
      <c r="C152" s="24">
        <v>14662.44</v>
      </c>
      <c r="D152" s="166">
        <f t="shared" si="14"/>
        <v>6.6571067271717854E-2</v>
      </c>
      <c r="E152" s="166">
        <v>0.2</v>
      </c>
      <c r="F152" s="75">
        <f t="shared" si="15"/>
        <v>17594.928</v>
      </c>
      <c r="G152" s="167">
        <f t="shared" si="16"/>
        <v>0.1433279433008465</v>
      </c>
    </row>
    <row r="153" spans="2:7" ht="30.75" thickBot="1" x14ac:dyDescent="0.3">
      <c r="B153" s="25" t="str">
        <v>Operarios (Sueldo+ Cargas sociales)</v>
      </c>
      <c r="C153" s="24">
        <v>132600</v>
      </c>
      <c r="D153" s="166">
        <f t="shared" si="14"/>
        <v>0.60203646325098603</v>
      </c>
      <c r="E153" s="166">
        <v>-1</v>
      </c>
      <c r="F153" s="75">
        <f t="shared" si="15"/>
        <v>0</v>
      </c>
      <c r="G153" s="167">
        <f t="shared" si="16"/>
        <v>0</v>
      </c>
    </row>
    <row r="154" spans="2:7" ht="30.75" thickBot="1" x14ac:dyDescent="0.3">
      <c r="B154" s="25" t="str">
        <v>Amortización maquinaria</v>
      </c>
      <c r="C154" s="24">
        <v>64350</v>
      </c>
      <c r="D154" s="166">
        <f t="shared" si="14"/>
        <v>0.2921647542247432</v>
      </c>
      <c r="E154" s="166">
        <v>0.5</v>
      </c>
      <c r="F154" s="75">
        <f t="shared" si="15"/>
        <v>96525</v>
      </c>
      <c r="G154" s="167">
        <f t="shared" si="16"/>
        <v>0.78629078374826022</v>
      </c>
    </row>
    <row r="155" spans="2:7" ht="15.75" thickBot="1" x14ac:dyDescent="0.3">
      <c r="B155" s="22" t="str">
        <v>Cajas de cartón</v>
      </c>
      <c r="C155" s="168">
        <v>0</v>
      </c>
      <c r="D155" s="166">
        <f t="shared" si="14"/>
        <v>0</v>
      </c>
      <c r="E155" s="166">
        <v>0</v>
      </c>
      <c r="F155" s="75">
        <f t="shared" si="15"/>
        <v>0</v>
      </c>
      <c r="G155" s="167">
        <f t="shared" si="16"/>
        <v>0</v>
      </c>
    </row>
    <row r="156" spans="2:7" ht="15.75" thickBot="1" x14ac:dyDescent="0.3">
      <c r="B156" s="22" t="str">
        <v>Suma</v>
      </c>
      <c r="C156" s="24">
        <v>220252.44</v>
      </c>
      <c r="D156" s="166">
        <v>1</v>
      </c>
      <c r="F156" s="93">
        <f>SUM(F147:F155)</f>
        <v>122759.928</v>
      </c>
      <c r="G156" s="167">
        <f t="shared" si="16"/>
        <v>1</v>
      </c>
    </row>
    <row r="157" spans="2:7" ht="15.75" thickBot="1" x14ac:dyDescent="0.3">
      <c r="B157" s="22" t="s">
        <v>95</v>
      </c>
      <c r="C157" s="24">
        <f>$D$75</f>
        <v>448240</v>
      </c>
      <c r="F157" s="93">
        <f>C157</f>
        <v>448240</v>
      </c>
    </row>
    <row r="158" spans="2:7" ht="15.75" thickBot="1" x14ac:dyDescent="0.3">
      <c r="B158" s="22" t="s">
        <v>96</v>
      </c>
      <c r="C158" s="172">
        <f>C156/C157</f>
        <v>0.49137167588791719</v>
      </c>
      <c r="F158" s="171">
        <f>F156/F157</f>
        <v>0.27387097983223274</v>
      </c>
    </row>
  </sheetData>
  <mergeCells count="19">
    <mergeCell ref="D54:I54"/>
    <mergeCell ref="D53:I53"/>
    <mergeCell ref="C79:I79"/>
    <mergeCell ref="C89:I89"/>
    <mergeCell ref="B2:D2"/>
    <mergeCell ref="C12:H12"/>
    <mergeCell ref="B25:I25"/>
    <mergeCell ref="D26:I26"/>
    <mergeCell ref="B69:G69"/>
    <mergeCell ref="B66:I66"/>
    <mergeCell ref="D40:I40"/>
    <mergeCell ref="C145:D145"/>
    <mergeCell ref="F145:G145"/>
    <mergeCell ref="B127:C127"/>
    <mergeCell ref="B141:C141"/>
    <mergeCell ref="F134:F135"/>
    <mergeCell ref="G134:G135"/>
    <mergeCell ref="F136:F137"/>
    <mergeCell ref="G136:G137"/>
  </mergeCells>
  <conditionalFormatting sqref="D42:I50">
    <cfRule type="expression" dxfId="13" priority="9">
      <formula>D42=0</formula>
    </cfRule>
  </conditionalFormatting>
  <conditionalFormatting sqref="D56:I64">
    <cfRule type="expression" dxfId="12" priority="8">
      <formula>D56=0</formula>
    </cfRule>
  </conditionalFormatting>
  <conditionalFormatting sqref="D81:I86">
    <cfRule type="expression" dxfId="11" priority="7">
      <formula>D81=0</formula>
    </cfRule>
  </conditionalFormatting>
  <conditionalFormatting sqref="D91:H96">
    <cfRule type="expression" dxfId="10" priority="5">
      <formula>D91=0</formula>
    </cfRule>
  </conditionalFormatting>
  <conditionalFormatting sqref="D109:H114">
    <cfRule type="expression" dxfId="9" priority="3">
      <formula>D109=0</formula>
    </cfRule>
  </conditionalFormatting>
  <conditionalFormatting sqref="D120:G125">
    <cfRule type="expression" dxfId="8" priority="2">
      <formula>D120=0</formula>
    </cfRule>
  </conditionalFormatting>
  <conditionalFormatting sqref="D134:E139">
    <cfRule type="expression" dxfId="7" priority="1">
      <formula>D134=0</formula>
    </cfRule>
  </conditionalFormatting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sqref="A1:H14"/>
    </sheetView>
  </sheetViews>
  <sheetFormatPr baseColWidth="10" defaultRowHeight="15" x14ac:dyDescent="0.25"/>
  <sheetData>
    <row r="1" spans="1:6" ht="15.75" thickBot="1" x14ac:dyDescent="0.3">
      <c r="B1" s="212" t="s">
        <v>92</v>
      </c>
      <c r="C1" s="213"/>
      <c r="D1" s="164"/>
      <c r="E1" s="212" t="s">
        <v>93</v>
      </c>
      <c r="F1" s="213"/>
    </row>
    <row r="2" spans="1:6" ht="15.75" thickBot="1" x14ac:dyDescent="0.3">
      <c r="A2" s="20" t="s">
        <v>30</v>
      </c>
      <c r="B2" s="165" t="s">
        <v>36</v>
      </c>
      <c r="C2" s="165" t="s">
        <v>91</v>
      </c>
      <c r="D2" s="165" t="s">
        <v>94</v>
      </c>
      <c r="E2" s="165" t="s">
        <v>36</v>
      </c>
      <c r="F2" s="165" t="s">
        <v>91</v>
      </c>
    </row>
    <row r="3" spans="1:6" ht="15.75" thickBot="1" x14ac:dyDescent="0.3">
      <c r="A3" s="22" t="s">
        <v>21</v>
      </c>
      <c r="B3" s="24">
        <v>8640</v>
      </c>
      <c r="C3" s="166">
        <v>3.9199999999999999E-2</v>
      </c>
      <c r="D3" s="166">
        <v>0</v>
      </c>
      <c r="E3" s="75">
        <v>8640</v>
      </c>
      <c r="F3" s="167">
        <v>7.0400000000000004E-2</v>
      </c>
    </row>
    <row r="4" spans="1:6" ht="15.75" thickBot="1" x14ac:dyDescent="0.3">
      <c r="A4" s="22" t="s">
        <v>38</v>
      </c>
      <c r="B4" s="168"/>
      <c r="C4" s="168"/>
      <c r="D4" s="166">
        <v>0</v>
      </c>
      <c r="E4" s="76"/>
      <c r="F4" s="76"/>
    </row>
    <row r="5" spans="1:6" ht="15.75" thickBot="1" x14ac:dyDescent="0.3">
      <c r="A5" s="22" t="s">
        <v>39</v>
      </c>
      <c r="B5" s="168"/>
      <c r="C5" s="168"/>
      <c r="D5" s="166">
        <v>0</v>
      </c>
      <c r="E5" s="76"/>
      <c r="F5" s="76"/>
    </row>
    <row r="6" spans="1:6" ht="15.75" thickBot="1" x14ac:dyDescent="0.3">
      <c r="A6" s="22" t="s">
        <v>40</v>
      </c>
      <c r="B6" s="168"/>
      <c r="C6" s="168"/>
      <c r="D6" s="166">
        <v>0</v>
      </c>
      <c r="E6" s="76"/>
      <c r="F6" s="76"/>
    </row>
    <row r="7" spans="1:6" ht="15.75" thickBot="1" x14ac:dyDescent="0.3">
      <c r="A7" s="22" t="s">
        <v>25</v>
      </c>
      <c r="B7" s="168"/>
      <c r="C7" s="168"/>
      <c r="D7" s="166">
        <v>0</v>
      </c>
      <c r="E7" s="76"/>
      <c r="F7" s="76"/>
    </row>
    <row r="8" spans="1:6" ht="15.75" thickBot="1" x14ac:dyDescent="0.3">
      <c r="A8" s="22" t="s">
        <v>26</v>
      </c>
      <c r="B8" s="24">
        <v>14662.44</v>
      </c>
      <c r="C8" s="166">
        <v>6.6600000000000006E-2</v>
      </c>
      <c r="D8" s="166">
        <v>0.2</v>
      </c>
      <c r="E8" s="75">
        <v>17594.93</v>
      </c>
      <c r="F8" s="167">
        <v>0.14330000000000001</v>
      </c>
    </row>
    <row r="9" spans="1:6" ht="60.75" thickBot="1" x14ac:dyDescent="0.3">
      <c r="A9" s="25" t="s">
        <v>41</v>
      </c>
      <c r="B9" s="24">
        <v>132600</v>
      </c>
      <c r="C9" s="166">
        <v>0.60199999999999998</v>
      </c>
      <c r="D9" s="166">
        <v>-1</v>
      </c>
      <c r="E9" s="169">
        <v>0</v>
      </c>
      <c r="F9" s="167">
        <v>0</v>
      </c>
    </row>
    <row r="10" spans="1:6" ht="45.75" thickBot="1" x14ac:dyDescent="0.3">
      <c r="A10" s="25" t="s">
        <v>28</v>
      </c>
      <c r="B10" s="24">
        <v>64350</v>
      </c>
      <c r="C10" s="166">
        <v>0.29220000000000002</v>
      </c>
      <c r="D10" s="166">
        <v>0.5</v>
      </c>
      <c r="E10" s="75">
        <v>96525</v>
      </c>
      <c r="F10" s="167">
        <v>0.7863</v>
      </c>
    </row>
    <row r="11" spans="1:6" ht="15.75" thickBot="1" x14ac:dyDescent="0.3">
      <c r="A11" s="22" t="s">
        <v>29</v>
      </c>
      <c r="B11" s="168"/>
      <c r="C11" s="166">
        <v>0</v>
      </c>
      <c r="D11" s="166">
        <v>0</v>
      </c>
      <c r="E11" s="169">
        <v>0</v>
      </c>
      <c r="F11" s="167">
        <v>0</v>
      </c>
    </row>
    <row r="12" spans="1:6" ht="15.75" thickBot="1" x14ac:dyDescent="0.3">
      <c r="A12" s="22" t="s">
        <v>42</v>
      </c>
      <c r="B12" s="24">
        <v>220252.44</v>
      </c>
      <c r="C12" s="166">
        <v>1</v>
      </c>
      <c r="E12" s="93">
        <v>122759.93</v>
      </c>
      <c r="F12" s="167">
        <v>1</v>
      </c>
    </row>
    <row r="13" spans="1:6" ht="15.75" thickBot="1" x14ac:dyDescent="0.3">
      <c r="A13" s="22" t="s">
        <v>95</v>
      </c>
      <c r="B13" s="24">
        <v>448240</v>
      </c>
      <c r="E13" s="93">
        <v>448240</v>
      </c>
    </row>
    <row r="14" spans="1:6" ht="15.75" thickBot="1" x14ac:dyDescent="0.3">
      <c r="A14" s="22" t="s">
        <v>96</v>
      </c>
      <c r="B14" s="170">
        <v>0.49099999999999999</v>
      </c>
      <c r="E14" s="171">
        <v>0.27</v>
      </c>
    </row>
  </sheetData>
  <mergeCells count="2">
    <mergeCell ref="B1:C1"/>
    <mergeCell ref="E1:F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49"/>
  <sheetViews>
    <sheetView topLeftCell="A40" workbookViewId="0">
      <selection sqref="A1:H14"/>
    </sheetView>
  </sheetViews>
  <sheetFormatPr baseColWidth="10" defaultRowHeight="15" x14ac:dyDescent="0.25"/>
  <cols>
    <col min="2" max="2" width="30" bestFit="1" customWidth="1"/>
  </cols>
  <sheetData>
    <row r="2" spans="2:4" ht="15.75" thickBot="1" x14ac:dyDescent="0.3">
      <c r="B2" s="200" t="s">
        <v>117</v>
      </c>
      <c r="C2" s="200"/>
      <c r="D2" s="200"/>
    </row>
    <row r="3" spans="2:4" ht="39" thickBot="1" x14ac:dyDescent="0.3">
      <c r="B3" s="177" t="s">
        <v>118</v>
      </c>
      <c r="C3" s="178" t="s">
        <v>119</v>
      </c>
      <c r="D3" s="178" t="s">
        <v>120</v>
      </c>
    </row>
    <row r="4" spans="2:4" ht="15.75" thickBot="1" x14ac:dyDescent="0.3">
      <c r="B4" s="146" t="s">
        <v>78</v>
      </c>
      <c r="C4" s="147" t="s">
        <v>121</v>
      </c>
      <c r="D4" s="148">
        <v>25000</v>
      </c>
    </row>
    <row r="5" spans="2:4" ht="15.75" thickBot="1" x14ac:dyDescent="0.3">
      <c r="B5" s="146" t="s">
        <v>79</v>
      </c>
      <c r="C5" s="147" t="s">
        <v>121</v>
      </c>
      <c r="D5" s="148">
        <v>25000</v>
      </c>
    </row>
    <row r="6" spans="2:4" ht="15.75" thickBot="1" x14ac:dyDescent="0.3">
      <c r="B6" s="146" t="s">
        <v>80</v>
      </c>
      <c r="C6" s="147" t="s">
        <v>121</v>
      </c>
      <c r="D6" s="148">
        <v>50000</v>
      </c>
    </row>
    <row r="7" spans="2:4" ht="15.75" thickBot="1" x14ac:dyDescent="0.3">
      <c r="B7" s="146" t="s">
        <v>81</v>
      </c>
      <c r="C7" s="147" t="s">
        <v>121</v>
      </c>
      <c r="D7" s="148">
        <v>50000</v>
      </c>
    </row>
    <row r="8" spans="2:4" ht="15.75" thickBot="1" x14ac:dyDescent="0.3">
      <c r="B8" s="149" t="s">
        <v>122</v>
      </c>
      <c r="C8" s="150"/>
      <c r="D8" s="151">
        <f>SUM(D4:D7)</f>
        <v>150000</v>
      </c>
    </row>
    <row r="11" spans="2:4" ht="25.5" customHeight="1" thickBot="1" x14ac:dyDescent="0.3">
      <c r="B11" s="201" t="s">
        <v>135</v>
      </c>
      <c r="C11" s="201"/>
    </row>
    <row r="12" spans="2:4" ht="15.75" thickBot="1" x14ac:dyDescent="0.3">
      <c r="B12" s="179" t="s">
        <v>19</v>
      </c>
      <c r="C12" s="180" t="s">
        <v>20</v>
      </c>
    </row>
    <row r="13" spans="2:4" ht="15.75" thickBot="1" x14ac:dyDescent="0.3">
      <c r="B13" s="146" t="s">
        <v>123</v>
      </c>
      <c r="C13" s="181">
        <v>15000</v>
      </c>
    </row>
    <row r="14" spans="2:4" ht="15.75" thickBot="1" x14ac:dyDescent="0.3">
      <c r="B14" s="112" t="s">
        <v>22</v>
      </c>
      <c r="C14" s="181">
        <v>100000</v>
      </c>
    </row>
    <row r="15" spans="2:4" ht="15.75" thickBot="1" x14ac:dyDescent="0.3">
      <c r="B15" s="112" t="s">
        <v>23</v>
      </c>
      <c r="C15" s="181">
        <v>3000</v>
      </c>
    </row>
    <row r="16" spans="2:4" ht="15.75" thickBot="1" x14ac:dyDescent="0.3">
      <c r="B16" s="112" t="s">
        <v>24</v>
      </c>
      <c r="C16" s="181">
        <v>30000</v>
      </c>
    </row>
    <row r="17" spans="2:8" ht="15.75" thickBot="1" x14ac:dyDescent="0.3">
      <c r="B17" s="112" t="s">
        <v>25</v>
      </c>
      <c r="C17" s="181">
        <v>12000</v>
      </c>
    </row>
    <row r="18" spans="2:8" ht="15.75" thickBot="1" x14ac:dyDescent="0.3">
      <c r="B18" s="112" t="s">
        <v>26</v>
      </c>
      <c r="C18" s="181">
        <v>94000</v>
      </c>
    </row>
    <row r="19" spans="2:8" ht="15.75" thickBot="1" x14ac:dyDescent="0.3">
      <c r="B19" s="112" t="s">
        <v>27</v>
      </c>
      <c r="C19" s="181">
        <v>300000</v>
      </c>
    </row>
    <row r="20" spans="2:8" ht="15.75" thickBot="1" x14ac:dyDescent="0.3">
      <c r="B20" s="112" t="s">
        <v>28</v>
      </c>
      <c r="C20" s="181">
        <v>165000</v>
      </c>
    </row>
    <row r="21" spans="2:8" ht="15.75" thickBot="1" x14ac:dyDescent="0.3">
      <c r="B21" s="112" t="s">
        <v>136</v>
      </c>
      <c r="C21" s="181">
        <v>5000</v>
      </c>
    </row>
    <row r="22" spans="2:8" ht="15.75" thickBot="1" x14ac:dyDescent="0.3">
      <c r="B22" s="182" t="s">
        <v>122</v>
      </c>
      <c r="C22" s="122">
        <f>SUM(C13:C21)</f>
        <v>724000</v>
      </c>
    </row>
    <row r="25" spans="2:8" ht="15.75" thickBot="1" x14ac:dyDescent="0.3">
      <c r="B25" s="188">
        <v>0</v>
      </c>
      <c r="C25" s="202" t="s">
        <v>107</v>
      </c>
      <c r="D25" s="202"/>
      <c r="E25" s="202"/>
      <c r="F25" s="202"/>
      <c r="G25" s="202"/>
      <c r="H25" s="202"/>
    </row>
    <row r="26" spans="2:8" ht="15.75" thickBot="1" x14ac:dyDescent="0.3">
      <c r="B26" s="189" t="s">
        <v>104</v>
      </c>
      <c r="C26" s="192" t="s">
        <v>137</v>
      </c>
      <c r="D26" s="183" t="s">
        <v>138</v>
      </c>
      <c r="E26" s="183" t="s">
        <v>139</v>
      </c>
      <c r="F26" s="183" t="s">
        <v>140</v>
      </c>
      <c r="G26" s="183" t="s">
        <v>141</v>
      </c>
      <c r="H26" s="183" t="s">
        <v>142</v>
      </c>
    </row>
    <row r="27" spans="2:8" ht="33.75" x14ac:dyDescent="0.25">
      <c r="B27" s="190" t="s">
        <v>102</v>
      </c>
      <c r="C27" s="193" t="s">
        <v>144</v>
      </c>
      <c r="D27" s="193" t="s">
        <v>145</v>
      </c>
      <c r="E27" s="193" t="s">
        <v>146</v>
      </c>
      <c r="F27" s="193" t="s">
        <v>145</v>
      </c>
      <c r="G27" s="193" t="s">
        <v>145</v>
      </c>
      <c r="H27" s="193" t="s">
        <v>147</v>
      </c>
    </row>
    <row r="28" spans="2:8" x14ac:dyDescent="0.25">
      <c r="B28" s="191" t="s">
        <v>143</v>
      </c>
      <c r="C28" s="194"/>
      <c r="D28" s="194"/>
      <c r="E28" s="194"/>
      <c r="F28" s="194"/>
      <c r="G28" s="194"/>
      <c r="H28" s="194"/>
    </row>
    <row r="29" spans="2:8" ht="15.75" thickBot="1" x14ac:dyDescent="0.3">
      <c r="B29" s="184" t="s">
        <v>78</v>
      </c>
      <c r="C29" s="185">
        <v>252.93</v>
      </c>
      <c r="D29" s="186">
        <v>42150</v>
      </c>
      <c r="E29" s="170"/>
      <c r="F29" s="170"/>
      <c r="G29" s="186">
        <v>60000</v>
      </c>
      <c r="H29" s="186">
        <f>G29/10</f>
        <v>6000</v>
      </c>
    </row>
    <row r="30" spans="2:8" ht="15.75" thickBot="1" x14ac:dyDescent="0.3">
      <c r="B30" s="184" t="s">
        <v>79</v>
      </c>
      <c r="C30" s="185">
        <v>253.11</v>
      </c>
      <c r="D30" s="186">
        <v>42190</v>
      </c>
      <c r="E30" s="170"/>
      <c r="F30" s="170"/>
      <c r="G30" s="186">
        <v>60000</v>
      </c>
      <c r="H30" s="186">
        <f t="shared" ref="H30:H32" si="0">G30/10</f>
        <v>6000</v>
      </c>
    </row>
    <row r="31" spans="2:8" ht="15.75" thickBot="1" x14ac:dyDescent="0.3">
      <c r="B31" s="184" t="s">
        <v>80</v>
      </c>
      <c r="C31" s="170"/>
      <c r="D31" s="170"/>
      <c r="E31" s="185">
        <v>363.9</v>
      </c>
      <c r="F31" s="186">
        <v>181950</v>
      </c>
      <c r="G31" s="186">
        <v>300000</v>
      </c>
      <c r="H31" s="186">
        <f t="shared" si="0"/>
        <v>30000</v>
      </c>
    </row>
    <row r="32" spans="2:8" ht="15.75" thickBot="1" x14ac:dyDescent="0.3">
      <c r="B32" s="184" t="s">
        <v>81</v>
      </c>
      <c r="C32" s="170"/>
      <c r="D32" s="170"/>
      <c r="E32" s="185">
        <v>363.9</v>
      </c>
      <c r="F32" s="186">
        <v>181950</v>
      </c>
      <c r="G32" s="186">
        <v>300000</v>
      </c>
      <c r="H32" s="186">
        <f t="shared" si="0"/>
        <v>30000</v>
      </c>
    </row>
    <row r="33" spans="2:9" ht="15.75" thickBot="1" x14ac:dyDescent="0.3">
      <c r="B33" s="46" t="s">
        <v>82</v>
      </c>
      <c r="C33" s="48">
        <f>SUM(C29:C32)</f>
        <v>506.04</v>
      </c>
      <c r="D33" s="48">
        <f t="shared" ref="D33:H33" si="1">SUM(D29:D32)</f>
        <v>84340</v>
      </c>
      <c r="E33" s="48">
        <f t="shared" si="1"/>
        <v>727.8</v>
      </c>
      <c r="F33" s="48">
        <f t="shared" si="1"/>
        <v>363900</v>
      </c>
      <c r="G33" s="48">
        <f t="shared" si="1"/>
        <v>720000</v>
      </c>
      <c r="H33" s="48">
        <f t="shared" si="1"/>
        <v>72000</v>
      </c>
    </row>
    <row r="37" spans="2:9" ht="15.75" thickBot="1" x14ac:dyDescent="0.3">
      <c r="B37" s="196" t="s">
        <v>101</v>
      </c>
      <c r="C37" s="196"/>
      <c r="D37" s="196"/>
      <c r="E37" s="196"/>
      <c r="F37" s="196"/>
      <c r="G37" s="196"/>
      <c r="H37" s="196"/>
      <c r="I37" s="196"/>
    </row>
    <row r="38" spans="2:9" ht="15.75" thickBot="1" x14ac:dyDescent="0.3">
      <c r="D38" s="197" t="s">
        <v>43</v>
      </c>
      <c r="E38" s="198"/>
      <c r="F38" s="198"/>
      <c r="G38" s="198"/>
      <c r="H38" s="198"/>
      <c r="I38" s="199"/>
    </row>
    <row r="39" spans="2:9" ht="15.75" thickBot="1" x14ac:dyDescent="0.3">
      <c r="B39" s="102" t="str">
        <f t="array" ref="B39:C49">$B$12:$C$22</f>
        <v xml:space="preserve">NOMBRE DEL FACTOR PRODUCTIVO </v>
      </c>
      <c r="C39" s="103" t="str">
        <v>Coste total (€)</v>
      </c>
      <c r="D39" s="104" t="s">
        <v>32</v>
      </c>
      <c r="E39" s="105" t="s">
        <v>33</v>
      </c>
      <c r="F39" s="105" t="s">
        <v>34</v>
      </c>
      <c r="G39" s="105" t="s">
        <v>35</v>
      </c>
      <c r="H39" s="105" t="s">
        <v>36</v>
      </c>
      <c r="I39" s="105" t="s">
        <v>37</v>
      </c>
    </row>
    <row r="40" spans="2:9" ht="15.75" thickBot="1" x14ac:dyDescent="0.3">
      <c r="B40" s="187" t="str">
        <v xml:space="preserve">Hilo Metálico </v>
      </c>
      <c r="C40" s="107">
        <v>15000</v>
      </c>
      <c r="D40" s="104"/>
      <c r="E40" s="104"/>
      <c r="F40" s="104"/>
      <c r="G40" s="104"/>
      <c r="H40" s="108">
        <v>1</v>
      </c>
      <c r="I40" s="104"/>
    </row>
    <row r="41" spans="2:9" ht="15.75" thickBot="1" x14ac:dyDescent="0.3">
      <c r="B41" s="187" t="str">
        <v xml:space="preserve">Plástico transparente </v>
      </c>
      <c r="C41" s="107">
        <v>100000</v>
      </c>
      <c r="D41" s="104"/>
      <c r="E41" s="104"/>
      <c r="F41" s="104"/>
      <c r="G41" s="108">
        <v>1</v>
      </c>
      <c r="H41" s="104"/>
      <c r="I41" s="104"/>
    </row>
    <row r="42" spans="2:9" ht="15.75" thickBot="1" x14ac:dyDescent="0.3">
      <c r="B42" s="187" t="str">
        <v>Colorante Plástico</v>
      </c>
      <c r="C42" s="107">
        <v>3000</v>
      </c>
      <c r="D42" s="104"/>
      <c r="E42" s="104"/>
      <c r="F42" s="108">
        <v>1</v>
      </c>
      <c r="G42" s="104"/>
      <c r="H42" s="104"/>
      <c r="I42" s="104"/>
    </row>
    <row r="43" spans="2:9" ht="15.75" thickBot="1" x14ac:dyDescent="0.3">
      <c r="B43" s="187" t="str">
        <v>Liquido Galvanizador</v>
      </c>
      <c r="C43" s="107">
        <v>30000</v>
      </c>
      <c r="D43" s="104"/>
      <c r="E43" s="108">
        <v>1</v>
      </c>
      <c r="F43" s="104"/>
      <c r="G43" s="104"/>
      <c r="H43" s="104"/>
      <c r="I43" s="104"/>
    </row>
    <row r="44" spans="2:9" ht="15.75" thickBot="1" x14ac:dyDescent="0.3">
      <c r="B44" s="187" t="str">
        <v>Aditivos</v>
      </c>
      <c r="C44" s="107">
        <v>12000</v>
      </c>
      <c r="D44" s="108">
        <v>1</v>
      </c>
      <c r="E44" s="104"/>
      <c r="F44" s="104"/>
      <c r="G44" s="104"/>
      <c r="H44" s="104"/>
      <c r="I44" s="104"/>
    </row>
    <row r="45" spans="2:9" ht="15.75" thickBot="1" x14ac:dyDescent="0.3">
      <c r="B45" s="187" t="str">
        <v>Electricidad</v>
      </c>
      <c r="C45" s="107">
        <v>94000</v>
      </c>
      <c r="D45" s="108">
        <v>0.06</v>
      </c>
      <c r="E45" s="108">
        <v>0.18</v>
      </c>
      <c r="F45" s="108">
        <v>0.05</v>
      </c>
      <c r="G45" s="108">
        <v>0.2</v>
      </c>
      <c r="H45" s="108">
        <v>0.39</v>
      </c>
      <c r="I45" s="108">
        <v>0.12</v>
      </c>
    </row>
    <row r="46" spans="2:9" ht="15.75" thickBot="1" x14ac:dyDescent="0.3">
      <c r="B46" s="187" t="str">
        <v>Operarios (Sueldo+ Cargas sociales)</v>
      </c>
      <c r="C46" s="107">
        <v>300000</v>
      </c>
      <c r="D46" s="108">
        <v>0.06</v>
      </c>
      <c r="E46" s="108">
        <v>0.18</v>
      </c>
      <c r="F46" s="108">
        <v>0.05</v>
      </c>
      <c r="G46" s="108">
        <v>0.2</v>
      </c>
      <c r="H46" s="108">
        <v>0.51</v>
      </c>
      <c r="I46" s="104"/>
    </row>
    <row r="47" spans="2:9" ht="15.75" thickBot="1" x14ac:dyDescent="0.3">
      <c r="B47" s="106" t="str">
        <v>Amortización maquinaria</v>
      </c>
      <c r="C47" s="107">
        <v>165000</v>
      </c>
      <c r="D47" s="108">
        <v>0.06</v>
      </c>
      <c r="E47" s="108">
        <v>0.18</v>
      </c>
      <c r="F47" s="108">
        <v>0.05</v>
      </c>
      <c r="G47" s="108">
        <v>0.2</v>
      </c>
      <c r="H47" s="108">
        <v>0.39</v>
      </c>
      <c r="I47" s="108">
        <v>0.12</v>
      </c>
    </row>
    <row r="48" spans="2:9" ht="15.75" thickBot="1" x14ac:dyDescent="0.3">
      <c r="B48" s="106" t="str">
        <v>Cajas de cartón</v>
      </c>
      <c r="C48" s="107">
        <v>5000</v>
      </c>
      <c r="D48" s="104"/>
      <c r="E48" s="104"/>
      <c r="F48" s="104"/>
      <c r="G48" s="104"/>
      <c r="H48" s="104"/>
      <c r="I48" s="108">
        <v>1</v>
      </c>
    </row>
    <row r="49" spans="2:3" ht="15.75" thickBot="1" x14ac:dyDescent="0.3">
      <c r="B49" s="106" t="str">
        <v>Suma</v>
      </c>
      <c r="C49" s="107">
        <v>724000</v>
      </c>
    </row>
  </sheetData>
  <mergeCells count="5">
    <mergeCell ref="B2:D2"/>
    <mergeCell ref="B11:C11"/>
    <mergeCell ref="C25:H25"/>
    <mergeCell ref="B37:I37"/>
    <mergeCell ref="D38:I3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S158"/>
  <sheetViews>
    <sheetView topLeftCell="A143" workbookViewId="0">
      <selection sqref="A1:H14"/>
    </sheetView>
  </sheetViews>
  <sheetFormatPr baseColWidth="10" defaultRowHeight="15" x14ac:dyDescent="0.25"/>
  <cols>
    <col min="2" max="2" width="22.140625" bestFit="1" customWidth="1"/>
    <col min="3" max="3" width="27.42578125" customWidth="1"/>
    <col min="9" max="9" width="11.85546875" bestFit="1" customWidth="1"/>
  </cols>
  <sheetData>
    <row r="2" spans="1:19" ht="15.75" thickBot="1" x14ac:dyDescent="0.3">
      <c r="B2" s="200" t="str">
        <f t="array" ref="B2:D8">'Datos Enunciado (2)'!B2:D8</f>
        <v>Tabla 1 Productos fabricados 2014</v>
      </c>
      <c r="C2" s="200">
        <v>0</v>
      </c>
      <c r="D2" s="200">
        <v>0</v>
      </c>
    </row>
    <row r="3" spans="1:19" ht="39" thickBot="1" x14ac:dyDescent="0.3">
      <c r="B3" s="177" t="str">
        <v>NOMBRE DEL PRODUCTO</v>
      </c>
      <c r="C3" s="178" t="str">
        <v>UNIDAD DE MEDIDA</v>
      </c>
      <c r="D3" s="178" t="str">
        <v>CANTIDAD  DE UNIDADES DE MEDIDA</v>
      </c>
    </row>
    <row r="4" spans="1:19" ht="15.75" thickBot="1" x14ac:dyDescent="0.3">
      <c r="B4" s="146" t="str">
        <v xml:space="preserve">Clip Galvanizado Dorado </v>
      </c>
      <c r="C4" s="147" t="str">
        <v xml:space="preserve"> Caja 100 uds </v>
      </c>
      <c r="D4" s="148">
        <v>25000</v>
      </c>
    </row>
    <row r="5" spans="1:19" ht="15.75" thickBot="1" x14ac:dyDescent="0.3">
      <c r="B5" s="146" t="str">
        <v xml:space="preserve">Clip Galvanizado Anaranjado </v>
      </c>
      <c r="C5" s="147" t="str">
        <v xml:space="preserve"> Caja 100 uds </v>
      </c>
      <c r="D5" s="148">
        <v>25000</v>
      </c>
    </row>
    <row r="6" spans="1:19" ht="15.75" thickBot="1" x14ac:dyDescent="0.3">
      <c r="B6" s="146" t="str">
        <v xml:space="preserve">Clip Plastificado Transparente </v>
      </c>
      <c r="C6" s="147" t="str">
        <v xml:space="preserve"> Caja 100 uds </v>
      </c>
      <c r="D6" s="148">
        <v>50000</v>
      </c>
    </row>
    <row r="7" spans="1:19" ht="15.75" thickBot="1" x14ac:dyDescent="0.3">
      <c r="B7" s="146" t="str">
        <v xml:space="preserve">Clip Plastificado Azul </v>
      </c>
      <c r="C7" s="147" t="str">
        <v xml:space="preserve"> Caja 100 uds </v>
      </c>
      <c r="D7" s="148">
        <v>50000</v>
      </c>
    </row>
    <row r="8" spans="1:19" ht="15.75" thickBot="1" x14ac:dyDescent="0.3">
      <c r="B8" s="149" t="str">
        <v>Suma</v>
      </c>
      <c r="C8" s="150">
        <v>0</v>
      </c>
      <c r="D8" s="151">
        <v>150000</v>
      </c>
    </row>
    <row r="10" spans="1:19" x14ac:dyDescent="0.25">
      <c r="M10" s="161" t="s">
        <v>104</v>
      </c>
      <c r="N10" s="161" t="s">
        <v>32</v>
      </c>
      <c r="O10" s="161" t="s">
        <v>33</v>
      </c>
      <c r="P10" s="161" t="s">
        <v>34</v>
      </c>
      <c r="Q10" s="161" t="s">
        <v>35</v>
      </c>
      <c r="R10" s="161" t="s">
        <v>36</v>
      </c>
      <c r="S10" s="161" t="s">
        <v>37</v>
      </c>
    </row>
    <row r="11" spans="1:19" ht="15.75" thickBot="1" x14ac:dyDescent="0.3">
      <c r="C11" t="s">
        <v>107</v>
      </c>
      <c r="L11" s="161" t="s">
        <v>104</v>
      </c>
    </row>
    <row r="12" spans="1:19" ht="15.75" thickBot="1" x14ac:dyDescent="0.3">
      <c r="B12" s="37">
        <v>0</v>
      </c>
      <c r="C12" s="203" t="s">
        <v>66</v>
      </c>
      <c r="D12" s="204"/>
      <c r="E12" s="204"/>
      <c r="F12" s="204"/>
      <c r="G12" s="204"/>
      <c r="H12" s="205"/>
      <c r="L12" s="161" t="s">
        <v>32</v>
      </c>
    </row>
    <row r="13" spans="1:19" ht="15.75" thickBot="1" x14ac:dyDescent="0.3">
      <c r="B13" s="125" t="s">
        <v>104</v>
      </c>
      <c r="C13" s="39" t="s">
        <v>32</v>
      </c>
      <c r="D13" s="40" t="s">
        <v>33</v>
      </c>
      <c r="E13" s="40" t="s">
        <v>34</v>
      </c>
      <c r="F13" s="40" t="s">
        <v>35</v>
      </c>
      <c r="G13" s="40" t="s">
        <v>36</v>
      </c>
      <c r="H13" s="40" t="s">
        <v>37</v>
      </c>
      <c r="L13" s="161" t="s">
        <v>33</v>
      </c>
    </row>
    <row r="14" spans="1:19" ht="34.5" thickBot="1" x14ac:dyDescent="0.3">
      <c r="B14" s="100" t="s">
        <v>100</v>
      </c>
      <c r="C14" s="42" t="s">
        <v>105</v>
      </c>
      <c r="D14" s="42" t="s">
        <v>75</v>
      </c>
      <c r="E14" s="42" t="s">
        <v>76</v>
      </c>
      <c r="F14" s="42" t="s">
        <v>75</v>
      </c>
      <c r="G14" s="42" t="s">
        <v>75</v>
      </c>
      <c r="H14" s="42" t="s">
        <v>77</v>
      </c>
      <c r="L14" s="161" t="s">
        <v>34</v>
      </c>
    </row>
    <row r="15" spans="1:19" ht="15.75" thickBot="1" x14ac:dyDescent="0.3">
      <c r="A15">
        <v>0</v>
      </c>
      <c r="B15" s="41" t="s">
        <v>78</v>
      </c>
      <c r="C15" s="43">
        <v>252.93</v>
      </c>
      <c r="D15" s="44">
        <v>42150</v>
      </c>
      <c r="E15" s="45"/>
      <c r="F15" s="45"/>
      <c r="G15" s="44">
        <f>D15</f>
        <v>42150</v>
      </c>
      <c r="H15" s="44">
        <f>G15/10</f>
        <v>4215</v>
      </c>
      <c r="L15" s="161" t="s">
        <v>35</v>
      </c>
    </row>
    <row r="16" spans="1:19" ht="15.75" thickBot="1" x14ac:dyDescent="0.3">
      <c r="B16" s="41" t="s">
        <v>79</v>
      </c>
      <c r="C16" s="43">
        <v>253.11</v>
      </c>
      <c r="D16" s="44">
        <v>42190</v>
      </c>
      <c r="E16" s="45"/>
      <c r="F16" s="45"/>
      <c r="G16" s="44">
        <f>D16</f>
        <v>42190</v>
      </c>
      <c r="H16" s="44">
        <f t="shared" ref="H16:H18" si="0">G16/10</f>
        <v>4219</v>
      </c>
      <c r="L16" s="161" t="s">
        <v>36</v>
      </c>
    </row>
    <row r="17" spans="2:12" ht="15.75" thickBot="1" x14ac:dyDescent="0.3">
      <c r="B17" s="41" t="s">
        <v>80</v>
      </c>
      <c r="C17" s="45"/>
      <c r="D17" s="45"/>
      <c r="E17" s="43">
        <v>363.9</v>
      </c>
      <c r="F17" s="44">
        <v>181950</v>
      </c>
      <c r="G17" s="44">
        <f>F17</f>
        <v>181950</v>
      </c>
      <c r="H17" s="44">
        <f t="shared" si="0"/>
        <v>18195</v>
      </c>
      <c r="L17" s="161" t="s">
        <v>37</v>
      </c>
    </row>
    <row r="18" spans="2:12" ht="15.75" thickBot="1" x14ac:dyDescent="0.3">
      <c r="B18" s="41" t="s">
        <v>81</v>
      </c>
      <c r="C18" s="45"/>
      <c r="D18" s="45"/>
      <c r="E18" s="43">
        <v>363.9</v>
      </c>
      <c r="F18" s="44">
        <v>181950</v>
      </c>
      <c r="G18" s="44">
        <f>F18</f>
        <v>181950</v>
      </c>
      <c r="H18" s="44">
        <f t="shared" si="0"/>
        <v>18195</v>
      </c>
    </row>
    <row r="19" spans="2:12" ht="15.75" thickBot="1" x14ac:dyDescent="0.3">
      <c r="B19" s="46" t="s">
        <v>82</v>
      </c>
      <c r="C19" s="129">
        <f t="shared" ref="C19:H19" si="1">SUM(C15:C18)</f>
        <v>506.04</v>
      </c>
      <c r="D19" s="129">
        <f t="shared" si="1"/>
        <v>84340</v>
      </c>
      <c r="E19" s="129">
        <f t="shared" si="1"/>
        <v>727.8</v>
      </c>
      <c r="F19" s="129">
        <f t="shared" si="1"/>
        <v>363900</v>
      </c>
      <c r="G19" s="129">
        <f t="shared" si="1"/>
        <v>448240</v>
      </c>
      <c r="H19" s="129">
        <f t="shared" si="1"/>
        <v>44824</v>
      </c>
    </row>
    <row r="21" spans="2:12" x14ac:dyDescent="0.25">
      <c r="D21" s="23"/>
    </row>
    <row r="25" spans="2:12" ht="15.75" thickBot="1" x14ac:dyDescent="0.3">
      <c r="B25" s="223" t="s">
        <v>101</v>
      </c>
      <c r="C25" s="223"/>
      <c r="D25" s="223"/>
      <c r="E25" s="223"/>
      <c r="F25" s="223"/>
      <c r="G25" s="223"/>
      <c r="H25" s="223"/>
      <c r="I25" s="223"/>
    </row>
    <row r="26" spans="2:12" ht="15.75" thickBot="1" x14ac:dyDescent="0.3">
      <c r="D26" s="197" t="s">
        <v>43</v>
      </c>
      <c r="E26" s="198"/>
      <c r="F26" s="198"/>
      <c r="G26" s="198"/>
      <c r="H26" s="198"/>
      <c r="I26" s="199"/>
    </row>
    <row r="27" spans="2:12" ht="24.75" thickBot="1" x14ac:dyDescent="0.3">
      <c r="B27" s="102" t="s">
        <v>19</v>
      </c>
      <c r="C27" s="103" t="s">
        <v>44</v>
      </c>
      <c r="D27" s="104" t="str">
        <f t="array" ref="D27:I27">C13:H13</f>
        <v>Mezclar</v>
      </c>
      <c r="E27" s="105" t="str">
        <v>Galvanizar</v>
      </c>
      <c r="F27" s="105" t="str">
        <v>Tintar</v>
      </c>
      <c r="G27" s="105" t="str">
        <v>Plastificar</v>
      </c>
      <c r="H27" s="105" t="str">
        <v>Manipular</v>
      </c>
      <c r="I27" s="105" t="str">
        <v>Envasar</v>
      </c>
    </row>
    <row r="28" spans="2:12" ht="15.75" thickBot="1" x14ac:dyDescent="0.3">
      <c r="B28" s="106" t="s">
        <v>123</v>
      </c>
      <c r="C28" s="107">
        <v>8640</v>
      </c>
      <c r="D28" s="104"/>
      <c r="E28" s="104"/>
      <c r="F28" s="104"/>
      <c r="G28" s="104"/>
      <c r="H28" s="108">
        <v>1</v>
      </c>
      <c r="I28" s="104"/>
      <c r="J28" s="77">
        <f>C28/$C$37</f>
        <v>1.472422748931471E-2</v>
      </c>
    </row>
    <row r="29" spans="2:12" ht="15.75" thickBot="1" x14ac:dyDescent="0.3">
      <c r="B29" s="106" t="s">
        <v>124</v>
      </c>
      <c r="C29" s="107">
        <v>86400</v>
      </c>
      <c r="D29" s="104"/>
      <c r="E29" s="104"/>
      <c r="F29" s="104"/>
      <c r="G29" s="108">
        <v>1</v>
      </c>
      <c r="H29" s="104"/>
      <c r="I29" s="104"/>
      <c r="J29" s="77">
        <f t="shared" ref="J29:J37" si="2">C29/$C$37</f>
        <v>0.14724227489314709</v>
      </c>
    </row>
    <row r="30" spans="2:12" ht="15.75" thickBot="1" x14ac:dyDescent="0.3">
      <c r="B30" s="106" t="s">
        <v>125</v>
      </c>
      <c r="C30" s="107">
        <v>1652</v>
      </c>
      <c r="D30" s="104"/>
      <c r="E30" s="104"/>
      <c r="F30" s="108">
        <v>1</v>
      </c>
      <c r="G30" s="104"/>
      <c r="H30" s="104"/>
      <c r="I30" s="104"/>
      <c r="J30" s="77">
        <f t="shared" si="2"/>
        <v>2.8153268301328591E-3</v>
      </c>
    </row>
    <row r="31" spans="2:12" ht="15.75" thickBot="1" x14ac:dyDescent="0.3">
      <c r="B31" s="106" t="s">
        <v>126</v>
      </c>
      <c r="C31" s="107">
        <v>17500</v>
      </c>
      <c r="D31" s="104"/>
      <c r="E31" s="108">
        <v>1</v>
      </c>
      <c r="F31" s="104"/>
      <c r="G31" s="104"/>
      <c r="H31" s="104"/>
      <c r="I31" s="104"/>
      <c r="J31" s="77">
        <f t="shared" si="2"/>
        <v>2.9823377437848082E-2</v>
      </c>
    </row>
    <row r="32" spans="2:12" ht="15.75" thickBot="1" x14ac:dyDescent="0.3">
      <c r="B32" s="106" t="s">
        <v>127</v>
      </c>
      <c r="C32" s="107">
        <v>7000</v>
      </c>
      <c r="D32" s="108">
        <v>1</v>
      </c>
      <c r="E32" s="104"/>
      <c r="F32" s="104"/>
      <c r="G32" s="104"/>
      <c r="H32" s="104"/>
      <c r="I32" s="104"/>
      <c r="J32" s="77">
        <f t="shared" si="2"/>
        <v>1.1929350975139233E-2</v>
      </c>
    </row>
    <row r="33" spans="2:10" ht="15.75" thickBot="1" x14ac:dyDescent="0.3">
      <c r="B33" s="106" t="s">
        <v>128</v>
      </c>
      <c r="C33" s="107">
        <v>37596</v>
      </c>
      <c r="D33" s="108">
        <v>0.06</v>
      </c>
      <c r="E33" s="108">
        <v>0.18</v>
      </c>
      <c r="F33" s="108">
        <v>0.05</v>
      </c>
      <c r="G33" s="108">
        <v>0.2</v>
      </c>
      <c r="H33" s="108">
        <v>0.39</v>
      </c>
      <c r="I33" s="108">
        <v>0.12</v>
      </c>
      <c r="J33" s="77">
        <f t="shared" si="2"/>
        <v>6.4070839894476372E-2</v>
      </c>
    </row>
    <row r="34" spans="2:10" ht="15.75" thickBot="1" x14ac:dyDescent="0.3">
      <c r="B34" s="106" t="s">
        <v>129</v>
      </c>
      <c r="C34" s="107">
        <v>260000</v>
      </c>
      <c r="D34" s="108">
        <v>0.06</v>
      </c>
      <c r="E34" s="108">
        <v>0.18</v>
      </c>
      <c r="F34" s="108">
        <v>0.05</v>
      </c>
      <c r="G34" s="108">
        <v>0.2</v>
      </c>
      <c r="H34" s="108">
        <v>0.51</v>
      </c>
      <c r="I34" s="104"/>
      <c r="J34" s="77">
        <f t="shared" si="2"/>
        <v>0.44309017907660009</v>
      </c>
    </row>
    <row r="35" spans="2:10" ht="15.75" thickBot="1" x14ac:dyDescent="0.3">
      <c r="B35" s="106" t="s">
        <v>28</v>
      </c>
      <c r="C35" s="107">
        <v>165000</v>
      </c>
      <c r="D35" s="108">
        <v>0.06</v>
      </c>
      <c r="E35" s="108">
        <v>0.18</v>
      </c>
      <c r="F35" s="108">
        <v>0.05</v>
      </c>
      <c r="G35" s="108">
        <v>0.2</v>
      </c>
      <c r="H35" s="108">
        <v>0.39</v>
      </c>
      <c r="I35" s="108">
        <v>0.12</v>
      </c>
      <c r="J35" s="77">
        <f t="shared" si="2"/>
        <v>0.28119184441399619</v>
      </c>
    </row>
    <row r="36" spans="2:10" ht="15.75" thickBot="1" x14ac:dyDescent="0.3">
      <c r="B36" s="106" t="s">
        <v>29</v>
      </c>
      <c r="C36" s="107">
        <v>3000</v>
      </c>
      <c r="D36" s="104"/>
      <c r="E36" s="104"/>
      <c r="F36" s="104"/>
      <c r="G36" s="104"/>
      <c r="H36" s="104"/>
      <c r="I36" s="108">
        <v>1</v>
      </c>
      <c r="J36" s="77">
        <f t="shared" si="2"/>
        <v>5.1125789893453856E-3</v>
      </c>
    </row>
    <row r="37" spans="2:10" ht="15.75" thickBot="1" x14ac:dyDescent="0.3">
      <c r="B37" s="106" t="s">
        <v>16</v>
      </c>
      <c r="C37" s="107">
        <v>586788</v>
      </c>
      <c r="J37" s="77">
        <f t="shared" si="2"/>
        <v>1</v>
      </c>
    </row>
    <row r="39" spans="2:10" ht="15.75" thickBot="1" x14ac:dyDescent="0.3">
      <c r="D39" s="136" t="s">
        <v>106</v>
      </c>
    </row>
    <row r="40" spans="2:10" ht="15.75" customHeight="1" thickBot="1" x14ac:dyDescent="0.3">
      <c r="B40" s="130"/>
      <c r="C40" s="130"/>
      <c r="D40" s="197" t="str">
        <f t="array" ref="D40:I41">'Datos Enunciado (2)'!D38:I39</f>
        <v xml:space="preserve">NOMBRE DE LA ACTIVIDAD </v>
      </c>
      <c r="E40" s="198">
        <v>0</v>
      </c>
      <c r="F40" s="198">
        <v>0</v>
      </c>
      <c r="G40" s="198">
        <v>0</v>
      </c>
      <c r="H40" s="198">
        <v>0</v>
      </c>
      <c r="I40" s="199">
        <v>0</v>
      </c>
    </row>
    <row r="41" spans="2:10" ht="24.75" thickBot="1" x14ac:dyDescent="0.3">
      <c r="B41" s="101" t="str">
        <f t="array" ref="B41:C51">'Datos Enunciado (2)'!B39:C49</f>
        <v xml:space="preserve">NOMBRE DEL FACTOR PRODUCTIVO </v>
      </c>
      <c r="C41" s="131" t="str">
        <v>Coste total (€)</v>
      </c>
      <c r="D41" s="104" t="str">
        <v>Mezclar</v>
      </c>
      <c r="E41" s="105" t="str">
        <v>Galvanizar</v>
      </c>
      <c r="F41" s="105" t="str">
        <v>Tintar</v>
      </c>
      <c r="G41" s="105" t="str">
        <v>Plastificar</v>
      </c>
      <c r="H41" s="105" t="str">
        <v>Manipular</v>
      </c>
      <c r="I41" s="105" t="str">
        <v>Envasar</v>
      </c>
    </row>
    <row r="42" spans="2:10" ht="15.75" thickBot="1" x14ac:dyDescent="0.3">
      <c r="B42" s="106" t="str">
        <v xml:space="preserve">Hilo Metálico </v>
      </c>
      <c r="C42" s="107">
        <v>15000</v>
      </c>
      <c r="D42" s="133">
        <f t="array" ref="D42:I50">'Datos Enunciado (2)'!$C$40:$C$48*'Datos Enunciado (2)'!$D$40:$I$48</f>
        <v>0</v>
      </c>
      <c r="E42" s="133">
        <v>0</v>
      </c>
      <c r="F42" s="133">
        <v>0</v>
      </c>
      <c r="G42" s="133">
        <v>0</v>
      </c>
      <c r="H42" s="133">
        <v>15000</v>
      </c>
      <c r="I42" s="133">
        <v>0</v>
      </c>
      <c r="J42" s="58">
        <f t="shared" ref="J42:J50" si="3">SUM(D42:I42)</f>
        <v>15000</v>
      </c>
    </row>
    <row r="43" spans="2:10" ht="15.75" thickBot="1" x14ac:dyDescent="0.3">
      <c r="B43" s="106" t="str">
        <v xml:space="preserve">Plástico transparente </v>
      </c>
      <c r="C43" s="107">
        <v>100000</v>
      </c>
      <c r="D43" s="133">
        <v>0</v>
      </c>
      <c r="E43" s="133">
        <v>0</v>
      </c>
      <c r="F43" s="133">
        <v>0</v>
      </c>
      <c r="G43" s="133">
        <v>100000</v>
      </c>
      <c r="H43" s="134">
        <v>0</v>
      </c>
      <c r="I43" s="133">
        <v>0</v>
      </c>
      <c r="J43" s="58">
        <f t="shared" si="3"/>
        <v>100000</v>
      </c>
    </row>
    <row r="44" spans="2:10" ht="15.75" thickBot="1" x14ac:dyDescent="0.3">
      <c r="B44" s="106" t="str">
        <v>Colorante Plástico</v>
      </c>
      <c r="C44" s="107">
        <v>3000</v>
      </c>
      <c r="D44" s="133">
        <v>0</v>
      </c>
      <c r="E44" s="133">
        <v>0</v>
      </c>
      <c r="F44" s="133">
        <v>3000</v>
      </c>
      <c r="G44" s="134">
        <v>0</v>
      </c>
      <c r="H44" s="133">
        <v>0</v>
      </c>
      <c r="I44" s="133">
        <v>0</v>
      </c>
      <c r="J44" s="58">
        <f t="shared" si="3"/>
        <v>3000</v>
      </c>
    </row>
    <row r="45" spans="2:10" ht="15.75" thickBot="1" x14ac:dyDescent="0.3">
      <c r="B45" s="106" t="str">
        <v>Liquido Galvanizador</v>
      </c>
      <c r="C45" s="107">
        <v>30000</v>
      </c>
      <c r="D45" s="134">
        <v>0</v>
      </c>
      <c r="E45" s="134">
        <v>30000</v>
      </c>
      <c r="F45" s="134">
        <v>0</v>
      </c>
      <c r="G45" s="133">
        <v>0</v>
      </c>
      <c r="H45" s="133">
        <v>0</v>
      </c>
      <c r="I45" s="133">
        <v>0</v>
      </c>
      <c r="J45" s="58">
        <f t="shared" si="3"/>
        <v>30000</v>
      </c>
    </row>
    <row r="46" spans="2:10" ht="15.75" thickBot="1" x14ac:dyDescent="0.3">
      <c r="B46" s="106" t="str">
        <v>Aditivos</v>
      </c>
      <c r="C46" s="107">
        <v>12000</v>
      </c>
      <c r="D46" s="133">
        <v>12000</v>
      </c>
      <c r="E46" s="133">
        <v>0</v>
      </c>
      <c r="F46" s="133">
        <v>0</v>
      </c>
      <c r="G46" s="133">
        <v>0</v>
      </c>
      <c r="H46" s="133">
        <v>0</v>
      </c>
      <c r="I46" s="133">
        <v>0</v>
      </c>
      <c r="J46" s="58">
        <f t="shared" si="3"/>
        <v>12000</v>
      </c>
    </row>
    <row r="47" spans="2:10" ht="15.75" thickBot="1" x14ac:dyDescent="0.3">
      <c r="B47" s="106" t="str">
        <v>Electricidad</v>
      </c>
      <c r="C47" s="107">
        <v>94000</v>
      </c>
      <c r="D47" s="133">
        <v>5640</v>
      </c>
      <c r="E47" s="133">
        <v>16920</v>
      </c>
      <c r="F47" s="133">
        <v>4700</v>
      </c>
      <c r="G47" s="133">
        <v>18800</v>
      </c>
      <c r="H47" s="133">
        <v>36660</v>
      </c>
      <c r="I47" s="133">
        <v>11280</v>
      </c>
      <c r="J47" s="58">
        <f t="shared" si="3"/>
        <v>94000</v>
      </c>
    </row>
    <row r="48" spans="2:10" ht="15.75" thickBot="1" x14ac:dyDescent="0.3">
      <c r="B48" s="106" t="str">
        <v>Operarios (Sueldo+ Cargas sociales)</v>
      </c>
      <c r="C48" s="107">
        <v>300000</v>
      </c>
      <c r="D48" s="134">
        <v>18000</v>
      </c>
      <c r="E48" s="134">
        <v>54000</v>
      </c>
      <c r="F48" s="134">
        <v>15000</v>
      </c>
      <c r="G48" s="134">
        <v>60000</v>
      </c>
      <c r="H48" s="134">
        <v>153000</v>
      </c>
      <c r="I48" s="134">
        <v>0</v>
      </c>
      <c r="J48" s="58">
        <f t="shared" si="3"/>
        <v>300000</v>
      </c>
    </row>
    <row r="49" spans="2:10" ht="15.75" thickBot="1" x14ac:dyDescent="0.3">
      <c r="B49" s="106" t="str">
        <v>Amortización maquinaria</v>
      </c>
      <c r="C49" s="107">
        <v>165000</v>
      </c>
      <c r="D49" s="134">
        <v>9900</v>
      </c>
      <c r="E49" s="134">
        <v>29700</v>
      </c>
      <c r="F49" s="134">
        <v>8250</v>
      </c>
      <c r="G49" s="134">
        <v>33000</v>
      </c>
      <c r="H49" s="134">
        <v>64350</v>
      </c>
      <c r="I49" s="133">
        <v>19800</v>
      </c>
      <c r="J49" s="58">
        <f t="shared" si="3"/>
        <v>165000</v>
      </c>
    </row>
    <row r="50" spans="2:10" ht="15.75" thickBot="1" x14ac:dyDescent="0.3">
      <c r="B50" s="106" t="str">
        <v>Cajas de cartón</v>
      </c>
      <c r="C50" s="107">
        <v>5000</v>
      </c>
      <c r="D50" s="134">
        <v>0</v>
      </c>
      <c r="E50" s="134">
        <v>0</v>
      </c>
      <c r="F50" s="134">
        <v>0</v>
      </c>
      <c r="G50" s="134">
        <v>0</v>
      </c>
      <c r="H50" s="134">
        <v>0</v>
      </c>
      <c r="I50" s="134">
        <v>5000</v>
      </c>
      <c r="J50" s="58">
        <f t="shared" si="3"/>
        <v>5000</v>
      </c>
    </row>
    <row r="51" spans="2:10" ht="15.75" thickBot="1" x14ac:dyDescent="0.3">
      <c r="B51" s="106" t="str">
        <v>Suma</v>
      </c>
      <c r="C51" s="132">
        <v>724000</v>
      </c>
      <c r="D51" s="135">
        <f>SUM(D42:D50)</f>
        <v>45540</v>
      </c>
      <c r="E51" s="135">
        <f t="shared" ref="E51:I51" si="4">SUM(E42:E50)</f>
        <v>130620</v>
      </c>
      <c r="F51" s="135">
        <f t="shared" si="4"/>
        <v>30950</v>
      </c>
      <c r="G51" s="135">
        <f t="shared" si="4"/>
        <v>211800</v>
      </c>
      <c r="H51" s="135">
        <f t="shared" si="4"/>
        <v>269010</v>
      </c>
      <c r="I51" s="135">
        <f t="shared" si="4"/>
        <v>36080</v>
      </c>
      <c r="J51" s="58">
        <f>SUM(D51:I51)</f>
        <v>724000</v>
      </c>
    </row>
    <row r="53" spans="2:10" ht="15.75" thickBot="1" x14ac:dyDescent="0.3">
      <c r="D53" s="220" t="s">
        <v>108</v>
      </c>
      <c r="E53" s="220"/>
      <c r="F53" s="220"/>
      <c r="G53" s="220"/>
      <c r="H53" s="220"/>
      <c r="I53" s="220"/>
    </row>
    <row r="54" spans="2:10" ht="15.75" thickBot="1" x14ac:dyDescent="0.3">
      <c r="D54" s="217" t="str">
        <f t="array" ref="D54:I54">D40</f>
        <v xml:space="preserve">NOMBRE DE LA ACTIVIDAD </v>
      </c>
      <c r="E54" s="218" t="str">
        <v xml:space="preserve">NOMBRE DE LA ACTIVIDAD </v>
      </c>
      <c r="F54" s="218" t="str">
        <v xml:space="preserve">NOMBRE DE LA ACTIVIDAD </v>
      </c>
      <c r="G54" s="218" t="str">
        <v xml:space="preserve">NOMBRE DE LA ACTIVIDAD </v>
      </c>
      <c r="H54" s="218" t="str">
        <v xml:space="preserve">NOMBRE DE LA ACTIVIDAD </v>
      </c>
      <c r="I54" s="219" t="str">
        <v xml:space="preserve">NOMBRE DE LA ACTIVIDAD </v>
      </c>
    </row>
    <row r="55" spans="2:10" ht="24.75" thickBot="1" x14ac:dyDescent="0.3">
      <c r="B55" s="101" t="str">
        <f t="array" ref="B55:C65">B41:C51</f>
        <v xml:space="preserve">NOMBRE DEL FACTOR PRODUCTIVO </v>
      </c>
      <c r="C55" s="131" t="str">
        <v>Coste total (€)</v>
      </c>
      <c r="D55" s="102" t="str">
        <f t="array" ref="D55:I55">D27:I27&amp;" (%)"</f>
        <v>Mezclar (%)</v>
      </c>
      <c r="E55" s="102" t="str">
        <v>Galvanizar (%)</v>
      </c>
      <c r="F55" s="102" t="str">
        <v>Tintar (%)</v>
      </c>
      <c r="G55" s="102" t="str">
        <v>Plastificar (%)</v>
      </c>
      <c r="H55" s="102" t="str">
        <v>Manipular (%)</v>
      </c>
      <c r="I55" s="102" t="str">
        <v>Envasar (%)</v>
      </c>
    </row>
    <row r="56" spans="2:10" ht="15.75" thickBot="1" x14ac:dyDescent="0.3">
      <c r="B56" s="106" t="str">
        <v xml:space="preserve">Hilo Metálico </v>
      </c>
      <c r="C56" s="107">
        <v>15000</v>
      </c>
      <c r="D56" s="139">
        <f t="array" ref="D56:I64">D42:I50/D51:I51</f>
        <v>0</v>
      </c>
      <c r="E56" s="139">
        <v>0</v>
      </c>
      <c r="F56" s="139">
        <v>0</v>
      </c>
      <c r="G56" s="139">
        <v>0</v>
      </c>
      <c r="H56" s="139">
        <v>5.5760008921601427E-2</v>
      </c>
      <c r="I56" s="139">
        <v>0</v>
      </c>
    </row>
    <row r="57" spans="2:10" ht="15.75" thickBot="1" x14ac:dyDescent="0.3">
      <c r="B57" s="106" t="str">
        <v xml:space="preserve">Plástico transparente </v>
      </c>
      <c r="C57" s="107">
        <v>100000</v>
      </c>
      <c r="D57" s="139">
        <v>0</v>
      </c>
      <c r="E57" s="139">
        <v>0</v>
      </c>
      <c r="F57" s="139">
        <v>0</v>
      </c>
      <c r="G57" s="139">
        <v>0.47214353163361661</v>
      </c>
      <c r="H57" s="140">
        <v>0</v>
      </c>
      <c r="I57" s="139">
        <v>0</v>
      </c>
    </row>
    <row r="58" spans="2:10" ht="15.75" thickBot="1" x14ac:dyDescent="0.3">
      <c r="B58" s="106" t="str">
        <v>Colorante Plástico</v>
      </c>
      <c r="C58" s="107">
        <v>3000</v>
      </c>
      <c r="D58" s="139">
        <v>0</v>
      </c>
      <c r="E58" s="139">
        <v>0</v>
      </c>
      <c r="F58" s="139">
        <v>9.6930533117932149E-2</v>
      </c>
      <c r="G58" s="140">
        <v>0</v>
      </c>
      <c r="H58" s="139">
        <v>0</v>
      </c>
      <c r="I58" s="139">
        <v>0</v>
      </c>
    </row>
    <row r="59" spans="2:10" ht="15.75" thickBot="1" x14ac:dyDescent="0.3">
      <c r="B59" s="106" t="str">
        <v>Liquido Galvanizador</v>
      </c>
      <c r="C59" s="107">
        <v>30000</v>
      </c>
      <c r="D59" s="140">
        <v>0</v>
      </c>
      <c r="E59" s="140">
        <v>0.2296738631143776</v>
      </c>
      <c r="F59" s="140">
        <v>0</v>
      </c>
      <c r="G59" s="139">
        <v>0</v>
      </c>
      <c r="H59" s="139">
        <v>0</v>
      </c>
      <c r="I59" s="139">
        <v>0</v>
      </c>
    </row>
    <row r="60" spans="2:10" ht="15.75" thickBot="1" x14ac:dyDescent="0.3">
      <c r="B60" s="106" t="str">
        <v>Aditivos</v>
      </c>
      <c r="C60" s="107">
        <v>12000</v>
      </c>
      <c r="D60" s="139">
        <v>0.2635046113306983</v>
      </c>
      <c r="E60" s="139">
        <v>0</v>
      </c>
      <c r="F60" s="139">
        <v>0</v>
      </c>
      <c r="G60" s="139">
        <v>0</v>
      </c>
      <c r="H60" s="139">
        <v>0</v>
      </c>
      <c r="I60" s="139">
        <v>0</v>
      </c>
    </row>
    <row r="61" spans="2:10" ht="15.75" thickBot="1" x14ac:dyDescent="0.3">
      <c r="B61" s="106" t="str">
        <v>Electricidad</v>
      </c>
      <c r="C61" s="107">
        <v>94000</v>
      </c>
      <c r="D61" s="139">
        <v>0.12384716732542819</v>
      </c>
      <c r="E61" s="139">
        <v>0.12953605879650895</v>
      </c>
      <c r="F61" s="139">
        <v>0.15185783521809371</v>
      </c>
      <c r="G61" s="139">
        <v>8.8762983947119928E-2</v>
      </c>
      <c r="H61" s="139">
        <v>0.1362774618043939</v>
      </c>
      <c r="I61" s="139">
        <v>0.31263858093126384</v>
      </c>
    </row>
    <row r="62" spans="2:10" ht="15.75" thickBot="1" x14ac:dyDescent="0.3">
      <c r="B62" s="106" t="str">
        <v>Operarios (Sueldo+ Cargas sociales)</v>
      </c>
      <c r="C62" s="107">
        <v>300000</v>
      </c>
      <c r="D62" s="140">
        <v>0.39525691699604742</v>
      </c>
      <c r="E62" s="140">
        <v>0.41341295360587965</v>
      </c>
      <c r="F62" s="140">
        <v>0.48465266558966075</v>
      </c>
      <c r="G62" s="140">
        <v>0.28328611898016998</v>
      </c>
      <c r="H62" s="140">
        <v>0.56875209100033453</v>
      </c>
      <c r="I62" s="140">
        <v>0</v>
      </c>
    </row>
    <row r="63" spans="2:10" ht="15.75" thickBot="1" x14ac:dyDescent="0.3">
      <c r="B63" s="106" t="str">
        <v>Amortización maquinaria</v>
      </c>
      <c r="C63" s="107">
        <v>165000</v>
      </c>
      <c r="D63" s="140">
        <v>0.21739130434782608</v>
      </c>
      <c r="E63" s="140">
        <v>0.2273771244832338</v>
      </c>
      <c r="F63" s="140">
        <v>0.2665589660743134</v>
      </c>
      <c r="G63" s="140">
        <v>0.15580736543909349</v>
      </c>
      <c r="H63" s="140">
        <v>0.23921043827367011</v>
      </c>
      <c r="I63" s="139">
        <v>0.54878048780487809</v>
      </c>
    </row>
    <row r="64" spans="2:10" ht="15.75" thickBot="1" x14ac:dyDescent="0.3">
      <c r="B64" s="106" t="str">
        <v>Cajas de cartón</v>
      </c>
      <c r="C64" s="107">
        <v>5000</v>
      </c>
      <c r="D64" s="140">
        <v>0</v>
      </c>
      <c r="E64" s="140">
        <v>0</v>
      </c>
      <c r="F64" s="140">
        <v>0</v>
      </c>
      <c r="G64" s="140">
        <v>0</v>
      </c>
      <c r="H64" s="140">
        <v>0</v>
      </c>
      <c r="I64" s="140">
        <v>0.13858093126385809</v>
      </c>
    </row>
    <row r="65" spans="2:9" ht="15.75" thickBot="1" x14ac:dyDescent="0.3">
      <c r="B65" s="106" t="str">
        <v>Suma</v>
      </c>
      <c r="C65" s="132">
        <v>724000</v>
      </c>
      <c r="D65" s="138">
        <f>SUM(D56:D64)</f>
        <v>0.99999999999999989</v>
      </c>
      <c r="E65" s="138">
        <f t="shared" ref="E65:I65" si="5">SUM(E56:E64)</f>
        <v>0.99999999999999989</v>
      </c>
      <c r="F65" s="138">
        <f t="shared" si="5"/>
        <v>1</v>
      </c>
      <c r="G65" s="138">
        <f t="shared" si="5"/>
        <v>1</v>
      </c>
      <c r="H65" s="138">
        <f t="shared" si="5"/>
        <v>1</v>
      </c>
      <c r="I65" s="138">
        <f t="shared" si="5"/>
        <v>1</v>
      </c>
    </row>
    <row r="66" spans="2:9" x14ac:dyDescent="0.25">
      <c r="B66" s="196"/>
      <c r="C66" s="196"/>
      <c r="D66" s="196"/>
      <c r="E66" s="196"/>
      <c r="F66" s="196"/>
      <c r="G66" s="196"/>
      <c r="H66" s="196"/>
      <c r="I66" s="226"/>
    </row>
    <row r="69" spans="2:9" ht="15.75" thickBot="1" x14ac:dyDescent="0.3">
      <c r="B69" s="224" t="s">
        <v>109</v>
      </c>
      <c r="C69" s="224"/>
      <c r="D69" s="224"/>
      <c r="E69" s="224"/>
      <c r="F69" s="225"/>
      <c r="G69" s="224"/>
    </row>
    <row r="70" spans="2:9" ht="39" thickBot="1" x14ac:dyDescent="0.3">
      <c r="B70" s="109" t="str">
        <f t="array" ref="B70:C76">TRANSPOSE('Datos Enunciado (2)'!$B$26:$H$27)</f>
        <v>Actividad</v>
      </c>
      <c r="C70" s="110" t="str">
        <v>Cost driver</v>
      </c>
      <c r="D70" s="110" t="s">
        <v>59</v>
      </c>
      <c r="E70" s="111" t="s">
        <v>60</v>
      </c>
      <c r="F70" s="137" t="s">
        <v>103</v>
      </c>
      <c r="G70" s="110" t="s">
        <v>61</v>
      </c>
    </row>
    <row r="71" spans="2:9" ht="15.75" thickBot="1" x14ac:dyDescent="0.3">
      <c r="B71" s="112" t="str">
        <v xml:space="preserve"> Mezclar </v>
      </c>
      <c r="C71" s="113" t="str">
        <v>Litros de líquido galvanizador</v>
      </c>
      <c r="D71" s="114">
        <f t="array" ref="D71:D76">TRANSPOSE('Datos Enunciado (2)'!$C$33:$H$33)</f>
        <v>506.04</v>
      </c>
      <c r="E71" s="115">
        <f t="array" ref="E71:E76">TRANSPOSE($D$51:$I$51)</f>
        <v>45540</v>
      </c>
      <c r="F71" s="116">
        <f>E71/$E$77</f>
        <v>6.2900552486187838E-2</v>
      </c>
      <c r="G71" s="128">
        <f>E71/D71</f>
        <v>89.992885937870525</v>
      </c>
      <c r="H71">
        <f t="array" ref="H71:H77">TRANSPOSE(C19:H19)</f>
        <v>506.04</v>
      </c>
      <c r="I71" t="b">
        <f>H71=D71</f>
        <v>1</v>
      </c>
    </row>
    <row r="72" spans="2:9" ht="15.75" thickBot="1" x14ac:dyDescent="0.3">
      <c r="B72" s="112" t="str">
        <v xml:space="preserve"> Galvanizar </v>
      </c>
      <c r="C72" s="118" t="str">
        <v>Metros de hilo</v>
      </c>
      <c r="D72" s="115">
        <v>84340</v>
      </c>
      <c r="E72" s="115">
        <v>130620</v>
      </c>
      <c r="F72" s="116">
        <f t="shared" ref="F72:F77" si="6">E72/$E$77</f>
        <v>0.18041436464088398</v>
      </c>
      <c r="G72" s="128">
        <f t="shared" ref="G72:G76" si="7">E72/D72</f>
        <v>1.5487313255869102</v>
      </c>
      <c r="H72">
        <v>84340</v>
      </c>
      <c r="I72" t="b">
        <f t="shared" ref="I72:I76" si="8">H72=D72</f>
        <v>1</v>
      </c>
    </row>
    <row r="73" spans="2:9" ht="15.75" thickBot="1" x14ac:dyDescent="0.3">
      <c r="B73" s="112" t="str">
        <v xml:space="preserve"> Tintar </v>
      </c>
      <c r="C73" s="118" t="str">
        <v>Kgs de plástico</v>
      </c>
      <c r="D73" s="114">
        <v>727.8</v>
      </c>
      <c r="E73" s="115">
        <v>30950</v>
      </c>
      <c r="F73" s="116">
        <f t="shared" si="6"/>
        <v>4.2748618784530387E-2</v>
      </c>
      <c r="G73" s="128">
        <f t="shared" si="7"/>
        <v>42.525419071173403</v>
      </c>
      <c r="H73">
        <v>727.8</v>
      </c>
      <c r="I73" t="b">
        <f t="shared" si="8"/>
        <v>1</v>
      </c>
    </row>
    <row r="74" spans="2:9" ht="15.75" thickBot="1" x14ac:dyDescent="0.3">
      <c r="B74" s="112" t="str">
        <v xml:space="preserve"> Plastificar </v>
      </c>
      <c r="C74" s="118" t="str">
        <v>Metros de hilo</v>
      </c>
      <c r="D74" s="115">
        <v>363900</v>
      </c>
      <c r="E74" s="115">
        <v>211800</v>
      </c>
      <c r="F74" s="116">
        <f t="shared" si="6"/>
        <v>0.29254143646408842</v>
      </c>
      <c r="G74" s="128">
        <f t="shared" si="7"/>
        <v>0.58202802967848311</v>
      </c>
      <c r="H74">
        <v>363900</v>
      </c>
      <c r="I74" t="b">
        <f t="shared" si="8"/>
        <v>1</v>
      </c>
    </row>
    <row r="75" spans="2:9" ht="15.75" thickBot="1" x14ac:dyDescent="0.3">
      <c r="B75" s="112" t="str">
        <v xml:space="preserve"> Manipular </v>
      </c>
      <c r="C75" s="118" t="str">
        <v>Metros de hilo</v>
      </c>
      <c r="D75" s="115">
        <v>720000</v>
      </c>
      <c r="E75" s="115">
        <v>269010</v>
      </c>
      <c r="F75" s="116">
        <f t="shared" si="6"/>
        <v>0.37156077348066296</v>
      </c>
      <c r="G75" s="128">
        <f t="shared" si="7"/>
        <v>0.37362499999999998</v>
      </c>
      <c r="H75">
        <v>448240</v>
      </c>
      <c r="I75" t="b">
        <f t="shared" si="8"/>
        <v>0</v>
      </c>
    </row>
    <row r="76" spans="2:9" ht="15.75" thickBot="1" x14ac:dyDescent="0.3">
      <c r="B76" s="112" t="str">
        <v xml:space="preserve"> Envasar </v>
      </c>
      <c r="C76" s="118" t="str">
        <v>Cajas</v>
      </c>
      <c r="D76" s="115">
        <v>72000</v>
      </c>
      <c r="E76" s="115">
        <v>36080</v>
      </c>
      <c r="F76" s="116">
        <f t="shared" si="6"/>
        <v>4.9834254143646409E-2</v>
      </c>
      <c r="G76" s="128">
        <f t="shared" si="7"/>
        <v>0.50111111111111106</v>
      </c>
      <c r="H76">
        <v>44824</v>
      </c>
      <c r="I76" t="b">
        <f t="shared" si="8"/>
        <v>0</v>
      </c>
    </row>
    <row r="77" spans="2:9" ht="15.75" thickBot="1" x14ac:dyDescent="0.3">
      <c r="B77" s="119"/>
      <c r="C77" s="120"/>
      <c r="D77" s="121"/>
      <c r="E77" s="122">
        <f>SUM(E71:E76)</f>
        <v>724000</v>
      </c>
      <c r="F77" s="116">
        <f t="shared" si="6"/>
        <v>1</v>
      </c>
      <c r="G77" s="117"/>
      <c r="H77" t="e">
        <v>#N/A</v>
      </c>
    </row>
    <row r="79" spans="2:9" x14ac:dyDescent="0.25">
      <c r="C79" s="221" t="s">
        <v>110</v>
      </c>
      <c r="D79" s="221"/>
      <c r="E79" s="221"/>
      <c r="F79" s="221"/>
      <c r="G79" s="221"/>
      <c r="H79" s="221"/>
      <c r="I79" s="221"/>
    </row>
    <row r="80" spans="2:9" ht="147.75" x14ac:dyDescent="0.25">
      <c r="B80" t="str">
        <f t="array" ref="B80:C86">$B$70:$C$76</f>
        <v>Actividad</v>
      </c>
      <c r="C80" s="126" t="str">
        <v>Cost driver</v>
      </c>
      <c r="D80" s="124" t="str">
        <f t="array" ref="D80:G80">TRANSPOSE($B$15:$B$18)</f>
        <v xml:space="preserve">Clip Galvanizado Dorado </v>
      </c>
      <c r="E80" s="124" t="str">
        <v xml:space="preserve">Clip Galvanizado Anaranjado </v>
      </c>
      <c r="F80" s="124" t="str">
        <v xml:space="preserve">Clip Plastificado Transparente </v>
      </c>
      <c r="G80" s="124" t="str">
        <v xml:space="preserve">Clip Plastificado Azul </v>
      </c>
      <c r="H80" s="124" t="s">
        <v>16</v>
      </c>
      <c r="I80" s="124" t="s">
        <v>111</v>
      </c>
    </row>
    <row r="81" spans="2:9" x14ac:dyDescent="0.25">
      <c r="B81" s="123" t="str">
        <v xml:space="preserve"> Mezclar </v>
      </c>
      <c r="C81" s="123" t="str">
        <v>Litros de líquido galvanizador</v>
      </c>
      <c r="D81" s="127">
        <f t="array" ref="D81:G86">TRANSPOSE('Datos Enunciado (2)'!$C$29:$H$32)</f>
        <v>252.93</v>
      </c>
      <c r="E81" s="127">
        <v>253.11</v>
      </c>
      <c r="F81" s="127">
        <v>0</v>
      </c>
      <c r="G81" s="127">
        <v>0</v>
      </c>
      <c r="H81" s="127">
        <f t="array" ref="H81:H86">TRANSPOSE('Datos Enunciado (2)'!$C$33:$H$33)</f>
        <v>506.04</v>
      </c>
      <c r="I81" s="195">
        <f t="array" ref="I81:I86">$G$71:$G$76</f>
        <v>89.992885937870525</v>
      </c>
    </row>
    <row r="82" spans="2:9" x14ac:dyDescent="0.25">
      <c r="B82" s="123" t="str">
        <v xml:space="preserve"> Galvanizar </v>
      </c>
      <c r="C82" s="123" t="str">
        <v>Metros de hilo</v>
      </c>
      <c r="D82" s="127">
        <v>42150</v>
      </c>
      <c r="E82" s="127">
        <v>42190</v>
      </c>
      <c r="F82" s="127">
        <v>0</v>
      </c>
      <c r="G82" s="127">
        <v>0</v>
      </c>
      <c r="H82" s="127">
        <v>84340</v>
      </c>
      <c r="I82" s="195">
        <v>1.5487313255869102</v>
      </c>
    </row>
    <row r="83" spans="2:9" x14ac:dyDescent="0.25">
      <c r="B83" s="123" t="str">
        <v xml:space="preserve"> Tintar </v>
      </c>
      <c r="C83" s="123" t="str">
        <v>Kgs de plástico</v>
      </c>
      <c r="D83" s="127">
        <v>0</v>
      </c>
      <c r="E83" s="127">
        <v>0</v>
      </c>
      <c r="F83" s="127">
        <v>363.9</v>
      </c>
      <c r="G83" s="127">
        <v>363.9</v>
      </c>
      <c r="H83" s="127">
        <v>727.8</v>
      </c>
      <c r="I83" s="195">
        <v>42.525419071173403</v>
      </c>
    </row>
    <row r="84" spans="2:9" x14ac:dyDescent="0.25">
      <c r="B84" s="123" t="str">
        <v xml:space="preserve"> Plastificar </v>
      </c>
      <c r="C84" s="123" t="str">
        <v>Metros de hilo</v>
      </c>
      <c r="D84" s="127">
        <v>0</v>
      </c>
      <c r="E84" s="127">
        <v>0</v>
      </c>
      <c r="F84" s="127">
        <v>181950</v>
      </c>
      <c r="G84" s="127">
        <v>181950</v>
      </c>
      <c r="H84" s="127">
        <v>363900</v>
      </c>
      <c r="I84" s="195">
        <v>0.58202802967848311</v>
      </c>
    </row>
    <row r="85" spans="2:9" x14ac:dyDescent="0.25">
      <c r="B85" s="123" t="str">
        <v xml:space="preserve"> Manipular </v>
      </c>
      <c r="C85" s="123" t="str">
        <v>Metros de hilo</v>
      </c>
      <c r="D85" s="127">
        <v>60000</v>
      </c>
      <c r="E85" s="127">
        <v>60000</v>
      </c>
      <c r="F85" s="127">
        <v>300000</v>
      </c>
      <c r="G85" s="127">
        <v>300000</v>
      </c>
      <c r="H85" s="127">
        <v>720000</v>
      </c>
      <c r="I85" s="195">
        <v>0.37362499999999998</v>
      </c>
    </row>
    <row r="86" spans="2:9" x14ac:dyDescent="0.25">
      <c r="B86" s="123" t="str">
        <v xml:space="preserve"> Envasar </v>
      </c>
      <c r="C86" s="123" t="str">
        <v>Cajas</v>
      </c>
      <c r="D86" s="127">
        <v>6000</v>
      </c>
      <c r="E86" s="127">
        <v>6000</v>
      </c>
      <c r="F86" s="127">
        <v>30000</v>
      </c>
      <c r="G86" s="127">
        <v>30000</v>
      </c>
      <c r="H86" s="127">
        <v>72000</v>
      </c>
      <c r="I86" s="195">
        <v>0.50111111111111106</v>
      </c>
    </row>
    <row r="89" spans="2:9" x14ac:dyDescent="0.25">
      <c r="C89" s="222" t="s">
        <v>113</v>
      </c>
      <c r="D89" s="222"/>
      <c r="E89" s="222"/>
      <c r="F89" s="222"/>
      <c r="G89" s="222"/>
      <c r="H89" s="222"/>
      <c r="I89" s="222"/>
    </row>
    <row r="90" spans="2:9" ht="147.75" x14ac:dyDescent="0.25">
      <c r="B90" t="str">
        <f t="array" ref="B90:C96">$B$80:$C$86</f>
        <v>Actividad</v>
      </c>
      <c r="C90" s="126" t="str">
        <v>Cost driver</v>
      </c>
      <c r="D90" s="124" t="str">
        <f t="array" ref="D90:H90">$D$80:$H$80</f>
        <v xml:space="preserve">Clip Galvanizado Dorado </v>
      </c>
      <c r="E90" s="124" t="str">
        <v xml:space="preserve">Clip Galvanizado Anaranjado </v>
      </c>
      <c r="F90" s="124" t="str">
        <v xml:space="preserve">Clip Plastificado Transparente </v>
      </c>
      <c r="G90" s="124" t="str">
        <v xml:space="preserve">Clip Plastificado Azul </v>
      </c>
      <c r="H90" s="124" t="str">
        <v>Total</v>
      </c>
      <c r="I90" s="141"/>
    </row>
    <row r="91" spans="2:9" x14ac:dyDescent="0.25">
      <c r="B91" s="123" t="str">
        <v xml:space="preserve"> Mezclar </v>
      </c>
      <c r="C91" s="123" t="str">
        <v>Litros de líquido galvanizador</v>
      </c>
      <c r="D91" s="127">
        <f t="array" ref="D91:H96">$D$81:$H$86*$I$81:$I$86</f>
        <v>22761.900640265594</v>
      </c>
      <c r="E91" s="127">
        <v>22778.09935973441</v>
      </c>
      <c r="F91" s="127">
        <v>0</v>
      </c>
      <c r="G91" s="127">
        <v>0</v>
      </c>
      <c r="H91" s="127">
        <v>45540</v>
      </c>
    </row>
    <row r="92" spans="2:9" x14ac:dyDescent="0.25">
      <c r="B92" s="123" t="str">
        <v xml:space="preserve"> Galvanizar </v>
      </c>
      <c r="C92" s="123" t="str">
        <v>Metros de hilo</v>
      </c>
      <c r="D92" s="127">
        <v>65279.025373488264</v>
      </c>
      <c r="E92" s="127">
        <v>65340.974626511743</v>
      </c>
      <c r="F92" s="127">
        <v>0</v>
      </c>
      <c r="G92" s="127">
        <v>0</v>
      </c>
      <c r="H92" s="127">
        <v>130620</v>
      </c>
    </row>
    <row r="93" spans="2:9" x14ac:dyDescent="0.25">
      <c r="B93" s="123" t="str">
        <v xml:space="preserve"> Tintar </v>
      </c>
      <c r="C93" s="123" t="str">
        <v>Kgs de plástico</v>
      </c>
      <c r="D93" s="127">
        <v>0</v>
      </c>
      <c r="E93" s="127">
        <v>0</v>
      </c>
      <c r="F93" s="127">
        <v>15475</v>
      </c>
      <c r="G93" s="127">
        <v>15475</v>
      </c>
      <c r="H93" s="127">
        <v>30950</v>
      </c>
    </row>
    <row r="94" spans="2:9" x14ac:dyDescent="0.25">
      <c r="B94" s="123" t="str">
        <v xml:space="preserve"> Plastificar </v>
      </c>
      <c r="C94" s="123" t="str">
        <v>Metros de hilo</v>
      </c>
      <c r="D94" s="127">
        <v>0</v>
      </c>
      <c r="E94" s="127">
        <v>0</v>
      </c>
      <c r="F94" s="127">
        <v>105900</v>
      </c>
      <c r="G94" s="127">
        <v>105900</v>
      </c>
      <c r="H94" s="127">
        <v>211800</v>
      </c>
    </row>
    <row r="95" spans="2:9" x14ac:dyDescent="0.25">
      <c r="B95" s="123" t="str">
        <v xml:space="preserve"> Manipular </v>
      </c>
      <c r="C95" s="123" t="str">
        <v>Metros de hilo</v>
      </c>
      <c r="D95" s="127">
        <v>22417.5</v>
      </c>
      <c r="E95" s="127">
        <v>22417.5</v>
      </c>
      <c r="F95" s="127">
        <v>112087.5</v>
      </c>
      <c r="G95" s="127">
        <v>112087.5</v>
      </c>
      <c r="H95" s="127">
        <v>269010</v>
      </c>
    </row>
    <row r="96" spans="2:9" x14ac:dyDescent="0.25">
      <c r="B96" s="143" t="str">
        <v xml:space="preserve"> Envasar </v>
      </c>
      <c r="C96" s="143" t="str">
        <v>Cajas</v>
      </c>
      <c r="D96" s="127">
        <v>3006.6666666666665</v>
      </c>
      <c r="E96" s="127">
        <v>3006.6666666666665</v>
      </c>
      <c r="F96" s="127">
        <v>15033.333333333332</v>
      </c>
      <c r="G96" s="127">
        <v>15033.333333333332</v>
      </c>
      <c r="H96" s="127">
        <v>36080</v>
      </c>
    </row>
    <row r="97" spans="2:8" x14ac:dyDescent="0.25">
      <c r="B97" s="144" t="s">
        <v>112</v>
      </c>
      <c r="C97" s="142"/>
      <c r="D97" s="145">
        <f>SUM(D91:D96)</f>
        <v>113465.09268042054</v>
      </c>
      <c r="E97" s="145">
        <f t="shared" ref="E97:H97" si="9">SUM(E91:E96)</f>
        <v>113543.24065291282</v>
      </c>
      <c r="F97" s="145">
        <f t="shared" si="9"/>
        <v>248495.83333333334</v>
      </c>
      <c r="G97" s="145">
        <f t="shared" si="9"/>
        <v>248495.83333333334</v>
      </c>
      <c r="H97" s="145">
        <f t="shared" si="9"/>
        <v>724000</v>
      </c>
    </row>
    <row r="100" spans="2:8" x14ac:dyDescent="0.25">
      <c r="D100" t="s">
        <v>131</v>
      </c>
    </row>
    <row r="101" spans="2:8" ht="147.75" x14ac:dyDescent="0.25">
      <c r="D101" s="124" t="str">
        <f t="array" ref="D101:G101">D90:G90</f>
        <v xml:space="preserve">Clip Galvanizado Dorado </v>
      </c>
      <c r="E101" s="124" t="str">
        <v xml:space="preserve">Clip Galvanizado Anaranjado </v>
      </c>
      <c r="F101" s="124" t="str">
        <v xml:space="preserve">Clip Plastificado Transparente </v>
      </c>
      <c r="G101" s="124" t="str">
        <v xml:space="preserve">Clip Plastificado Azul </v>
      </c>
      <c r="H101" s="124" t="s">
        <v>16</v>
      </c>
    </row>
    <row r="102" spans="2:8" x14ac:dyDescent="0.25">
      <c r="C102" s="123" t="s">
        <v>115</v>
      </c>
      <c r="D102" s="153">
        <f t="array" ref="D102:G102">D97:G97</f>
        <v>113465.09268042054</v>
      </c>
      <c r="E102" s="153">
        <v>113543.24065291282</v>
      </c>
      <c r="F102" s="153">
        <v>248495.83333333334</v>
      </c>
      <c r="G102" s="153">
        <v>248495.83333333334</v>
      </c>
      <c r="H102" s="153">
        <f>SUM(D102:G102)</f>
        <v>724000.00000000012</v>
      </c>
    </row>
    <row r="103" spans="2:8" x14ac:dyDescent="0.25">
      <c r="C103" s="123" t="s">
        <v>114</v>
      </c>
      <c r="D103" s="154">
        <f t="array" ref="D103:G103">TRANSPOSE($D$4:$D$7)</f>
        <v>25000</v>
      </c>
      <c r="E103" s="154">
        <v>25000</v>
      </c>
      <c r="F103" s="154">
        <v>50000</v>
      </c>
      <c r="G103" s="154">
        <v>50000</v>
      </c>
      <c r="H103" s="153">
        <f>SUM(D103:G103)</f>
        <v>150000</v>
      </c>
    </row>
    <row r="104" spans="2:8" x14ac:dyDescent="0.25">
      <c r="C104" s="123" t="s">
        <v>116</v>
      </c>
      <c r="D104" s="152">
        <f>D102/D103</f>
        <v>4.5386037072168213</v>
      </c>
      <c r="E104" s="152">
        <f t="shared" ref="E104:H104" si="10">E102/E103</f>
        <v>4.5417296261165125</v>
      </c>
      <c r="F104" s="152">
        <f t="shared" si="10"/>
        <v>4.9699166666666672</v>
      </c>
      <c r="G104" s="152">
        <f t="shared" si="10"/>
        <v>4.9699166666666672</v>
      </c>
      <c r="H104" s="152">
        <f t="shared" si="10"/>
        <v>4.8266666666666671</v>
      </c>
    </row>
    <row r="107" spans="2:8" x14ac:dyDescent="0.25">
      <c r="C107" t="s">
        <v>130</v>
      </c>
    </row>
    <row r="108" spans="2:8" ht="147.75" x14ac:dyDescent="0.25">
      <c r="B108" t="str">
        <f t="array" ref="B108:C115">B90:C97</f>
        <v>Actividad</v>
      </c>
      <c r="C108" s="126" t="str">
        <v>Cost driver</v>
      </c>
      <c r="D108" s="124" t="str">
        <f t="array" ref="D108:H108">D90:H90</f>
        <v xml:space="preserve">Clip Galvanizado Dorado </v>
      </c>
      <c r="E108" s="124" t="str">
        <v xml:space="preserve">Clip Galvanizado Anaranjado </v>
      </c>
      <c r="F108" s="124" t="str">
        <v xml:space="preserve">Clip Plastificado Transparente </v>
      </c>
      <c r="G108" s="124" t="str">
        <v xml:space="preserve">Clip Plastificado Azul </v>
      </c>
      <c r="H108" s="157" t="str">
        <v>Total</v>
      </c>
    </row>
    <row r="109" spans="2:8" x14ac:dyDescent="0.25">
      <c r="B109" s="123" t="str">
        <v xml:space="preserve"> Mezclar </v>
      </c>
      <c r="C109" s="123" t="str">
        <v>Litros de líquido galvanizador</v>
      </c>
      <c r="D109" s="176">
        <f t="array" ref="D109:G115">$D$91:$G$97/$D$97:$G$97</f>
        <v>0.20060707749453391</v>
      </c>
      <c r="E109" s="176">
        <v>0.20061167207094388</v>
      </c>
      <c r="F109" s="176">
        <v>0</v>
      </c>
      <c r="G109" s="176">
        <v>0</v>
      </c>
      <c r="H109" s="158"/>
    </row>
    <row r="110" spans="2:8" x14ac:dyDescent="0.25">
      <c r="B110" s="123" t="str">
        <v xml:space="preserve"> Galvanizar </v>
      </c>
      <c r="C110" s="123" t="str">
        <v>Metros de hilo</v>
      </c>
      <c r="D110" s="176">
        <v>0.57532254045170994</v>
      </c>
      <c r="E110" s="176">
        <v>0.57547216594117434</v>
      </c>
      <c r="F110" s="176">
        <v>0</v>
      </c>
      <c r="G110" s="176">
        <v>0</v>
      </c>
      <c r="H110" s="158"/>
    </row>
    <row r="111" spans="2:8" x14ac:dyDescent="0.25">
      <c r="B111" s="123" t="str">
        <v xml:space="preserve"> Tintar </v>
      </c>
      <c r="C111" s="123" t="str">
        <v>Kgs de plástico</v>
      </c>
      <c r="D111" s="176">
        <v>0</v>
      </c>
      <c r="E111" s="176">
        <v>0</v>
      </c>
      <c r="F111" s="176">
        <v>6.2274686027599384E-2</v>
      </c>
      <c r="G111" s="176">
        <v>6.2274686027599384E-2</v>
      </c>
      <c r="H111" s="158"/>
    </row>
    <row r="112" spans="2:8" x14ac:dyDescent="0.25">
      <c r="B112" s="123" t="str">
        <v xml:space="preserve"> Plastificar </v>
      </c>
      <c r="C112" s="123" t="str">
        <v>Metros de hilo</v>
      </c>
      <c r="D112" s="176">
        <v>0</v>
      </c>
      <c r="E112" s="176">
        <v>0</v>
      </c>
      <c r="F112" s="176">
        <v>0.42616408725833765</v>
      </c>
      <c r="G112" s="176">
        <v>0.42616408725833765</v>
      </c>
      <c r="H112" s="158"/>
    </row>
    <row r="113" spans="2:8" x14ac:dyDescent="0.25">
      <c r="B113" s="123" t="str">
        <v xml:space="preserve"> Manipular </v>
      </c>
      <c r="C113" s="123" t="str">
        <v>Metros de hilo</v>
      </c>
      <c r="D113" s="176">
        <v>0.19757177710275955</v>
      </c>
      <c r="E113" s="176">
        <v>0.19743579513048631</v>
      </c>
      <c r="F113" s="176">
        <v>0.45106390113851674</v>
      </c>
      <c r="G113" s="176">
        <v>0.45106390113851674</v>
      </c>
      <c r="H113" s="158"/>
    </row>
    <row r="114" spans="2:8" x14ac:dyDescent="0.25">
      <c r="B114" s="143" t="str">
        <v xml:space="preserve"> Envasar </v>
      </c>
      <c r="C114" s="143" t="str">
        <v>Cajas</v>
      </c>
      <c r="D114" s="176">
        <v>2.6498604950996485E-2</v>
      </c>
      <c r="E114" s="176">
        <v>2.6480366857395434E-2</v>
      </c>
      <c r="F114" s="176">
        <v>6.0497325575546199E-2</v>
      </c>
      <c r="G114" s="176">
        <v>6.0497325575546199E-2</v>
      </c>
      <c r="H114" s="158"/>
    </row>
    <row r="115" spans="2:8" x14ac:dyDescent="0.25">
      <c r="B115" s="144" t="str">
        <v>Total coste producción</v>
      </c>
      <c r="C115" s="156">
        <v>0</v>
      </c>
      <c r="D115" s="155">
        <v>1</v>
      </c>
      <c r="E115" s="155">
        <v>1</v>
      </c>
      <c r="F115" s="155">
        <v>1</v>
      </c>
      <c r="G115" s="160">
        <v>1</v>
      </c>
      <c r="H115" s="159"/>
    </row>
    <row r="119" spans="2:8" ht="147.75" x14ac:dyDescent="0.25">
      <c r="B119" t="str">
        <f t="array" ref="B119:C126">B90:$C$97</f>
        <v>Actividad</v>
      </c>
      <c r="C119" s="126" t="str">
        <v>Cost driver</v>
      </c>
      <c r="D119" s="124" t="str">
        <f t="array" ref="D119:G119">D90:$G$90</f>
        <v xml:space="preserve">Clip Galvanizado Dorado </v>
      </c>
      <c r="E119" s="124" t="str">
        <v xml:space="preserve">Clip Galvanizado Anaranjado </v>
      </c>
      <c r="F119" s="124" t="str">
        <v xml:space="preserve">Clip Plastificado Transparente </v>
      </c>
      <c r="G119" s="124" t="str">
        <v xml:space="preserve">Clip Plastificado Azul </v>
      </c>
    </row>
    <row r="120" spans="2:8" x14ac:dyDescent="0.25">
      <c r="B120" s="123" t="str">
        <v xml:space="preserve"> Mezclar </v>
      </c>
      <c r="C120" s="123" t="str">
        <v>Litros de líquido galvanizador</v>
      </c>
      <c r="D120" s="173">
        <f t="array" ref="D120:G126">$D$91:$H$97/$D$127:$G$127</f>
        <v>0.9104760256106238</v>
      </c>
      <c r="E120" s="173">
        <v>0.91112397438937642</v>
      </c>
      <c r="F120" s="173">
        <v>0</v>
      </c>
      <c r="G120" s="173">
        <v>0</v>
      </c>
    </row>
    <row r="121" spans="2:8" x14ac:dyDescent="0.25">
      <c r="B121" s="123" t="str">
        <v xml:space="preserve"> Galvanizar </v>
      </c>
      <c r="C121" s="123" t="str">
        <v>Metros de hilo</v>
      </c>
      <c r="D121" s="173">
        <v>2.6111610149395306</v>
      </c>
      <c r="E121" s="173">
        <v>2.6136389850604695</v>
      </c>
      <c r="F121" s="173">
        <v>0</v>
      </c>
      <c r="G121" s="173">
        <v>0</v>
      </c>
    </row>
    <row r="122" spans="2:8" x14ac:dyDescent="0.25">
      <c r="B122" s="123" t="str">
        <v xml:space="preserve"> Tintar </v>
      </c>
      <c r="C122" s="123" t="str">
        <v>Kgs de plástico</v>
      </c>
      <c r="D122" s="173">
        <v>0</v>
      </c>
      <c r="E122" s="173">
        <v>0</v>
      </c>
      <c r="F122" s="173">
        <v>0.3095</v>
      </c>
      <c r="G122" s="173">
        <v>0.3095</v>
      </c>
    </row>
    <row r="123" spans="2:8" x14ac:dyDescent="0.25">
      <c r="B123" s="123" t="str">
        <v xml:space="preserve"> Plastificar </v>
      </c>
      <c r="C123" s="123" t="str">
        <v>Metros de hilo</v>
      </c>
      <c r="D123" s="173">
        <v>0</v>
      </c>
      <c r="E123" s="173">
        <v>0</v>
      </c>
      <c r="F123" s="173">
        <v>2.1179999999999999</v>
      </c>
      <c r="G123" s="173">
        <v>2.1179999999999999</v>
      </c>
    </row>
    <row r="124" spans="2:8" x14ac:dyDescent="0.25">
      <c r="B124" s="123" t="str">
        <v xml:space="preserve"> Manipular </v>
      </c>
      <c r="C124" s="123" t="str">
        <v>Metros de hilo</v>
      </c>
      <c r="D124" s="173">
        <v>0.89670000000000005</v>
      </c>
      <c r="E124" s="173">
        <v>0.89670000000000005</v>
      </c>
      <c r="F124" s="173">
        <v>2.2417500000000001</v>
      </c>
      <c r="G124" s="173">
        <v>2.2417500000000001</v>
      </c>
    </row>
    <row r="125" spans="2:8" x14ac:dyDescent="0.25">
      <c r="B125" s="143" t="str">
        <v xml:space="preserve"> Envasar </v>
      </c>
      <c r="C125" s="143" t="str">
        <v>Cajas</v>
      </c>
      <c r="D125" s="173">
        <v>0.12026666666666666</v>
      </c>
      <c r="E125" s="173">
        <v>0.12026666666666666</v>
      </c>
      <c r="F125" s="173">
        <v>0.30066666666666664</v>
      </c>
      <c r="G125" s="173">
        <v>0.30066666666666664</v>
      </c>
    </row>
    <row r="126" spans="2:8" x14ac:dyDescent="0.25">
      <c r="B126" s="144" t="str">
        <v>Total coste producción</v>
      </c>
      <c r="C126" s="156">
        <v>0</v>
      </c>
      <c r="D126" s="174">
        <v>4.5386037072168213</v>
      </c>
      <c r="E126" s="174">
        <v>4.5417296261165125</v>
      </c>
      <c r="F126" s="174">
        <v>4.9699166666666672</v>
      </c>
      <c r="G126" s="175">
        <v>4.9699166666666672</v>
      </c>
    </row>
    <row r="127" spans="2:8" x14ac:dyDescent="0.25">
      <c r="B127" s="214" t="s">
        <v>132</v>
      </c>
      <c r="C127" s="214"/>
      <c r="D127" s="162">
        <f t="array" ref="D127:G127">TRANSPOSE(D4:D7)</f>
        <v>25000</v>
      </c>
      <c r="E127" s="162">
        <v>25000</v>
      </c>
      <c r="F127" s="162">
        <v>50000</v>
      </c>
      <c r="G127" s="162">
        <v>50000</v>
      </c>
    </row>
    <row r="132" spans="2:7" x14ac:dyDescent="0.25">
      <c r="C132" t="s">
        <v>133</v>
      </c>
    </row>
    <row r="133" spans="2:7" ht="160.5" customHeight="1" x14ac:dyDescent="0.25">
      <c r="B133" t="str">
        <f t="array" ref="B133:C141">B119:C127</f>
        <v>Actividad</v>
      </c>
      <c r="C133" s="126" t="str">
        <v>Cost driver</v>
      </c>
      <c r="D133" s="163" t="str">
        <f>D119&amp;"-Plastificado transparente"</f>
        <v>Clip Galvanizado Dorado -Plastificado transparente</v>
      </c>
      <c r="E133" s="163" t="str">
        <f>E119&amp;"-Plastificado transparente"</f>
        <v>Clip Galvanizado Anaranjado -Plastificado transparente</v>
      </c>
    </row>
    <row r="134" spans="2:7" x14ac:dyDescent="0.25">
      <c r="B134" s="123" t="str">
        <v xml:space="preserve"> Mezclar </v>
      </c>
      <c r="C134" s="123" t="str">
        <v>Litros de líquido galvanizador</v>
      </c>
      <c r="D134" s="173">
        <f>D120</f>
        <v>0.9104760256106238</v>
      </c>
      <c r="E134" s="173">
        <f>E120</f>
        <v>0.91112397438937642</v>
      </c>
      <c r="F134" s="215">
        <f>D134+D135</f>
        <v>3.5216370405501545</v>
      </c>
      <c r="G134" s="215">
        <f>E134+E135</f>
        <v>3.5247629594498457</v>
      </c>
    </row>
    <row r="135" spans="2:7" x14ac:dyDescent="0.25">
      <c r="B135" s="123" t="str">
        <v xml:space="preserve"> Galvanizar </v>
      </c>
      <c r="C135" s="123" t="str">
        <v>Metros de hilo</v>
      </c>
      <c r="D135" s="173">
        <f>D121</f>
        <v>2.6111610149395306</v>
      </c>
      <c r="E135" s="173">
        <f>E121</f>
        <v>2.6136389850604695</v>
      </c>
      <c r="F135" s="216"/>
      <c r="G135" s="216"/>
    </row>
    <row r="136" spans="2:7" x14ac:dyDescent="0.25">
      <c r="B136" s="123" t="str">
        <v xml:space="preserve"> Tintar </v>
      </c>
      <c r="C136" s="123" t="str">
        <v>Kgs de plástico</v>
      </c>
      <c r="D136" s="173">
        <f>F122</f>
        <v>0.3095</v>
      </c>
      <c r="E136" s="173">
        <f>G122</f>
        <v>0.3095</v>
      </c>
      <c r="F136" s="215">
        <f>D136+D137</f>
        <v>2.4274999999999998</v>
      </c>
      <c r="G136" s="215">
        <f>E136+E137</f>
        <v>2.4274999999999998</v>
      </c>
    </row>
    <row r="137" spans="2:7" x14ac:dyDescent="0.25">
      <c r="B137" s="123" t="str">
        <v xml:space="preserve"> Plastificar </v>
      </c>
      <c r="C137" s="123" t="str">
        <v>Metros de hilo</v>
      </c>
      <c r="D137" s="173">
        <f t="shared" ref="D137:E139" si="11">F123</f>
        <v>2.1179999999999999</v>
      </c>
      <c r="E137" s="173">
        <f t="shared" si="11"/>
        <v>2.1179999999999999</v>
      </c>
      <c r="F137" s="216"/>
      <c r="G137" s="216"/>
    </row>
    <row r="138" spans="2:7" x14ac:dyDescent="0.25">
      <c r="B138" s="123" t="str">
        <v xml:space="preserve"> Manipular </v>
      </c>
      <c r="C138" s="123" t="str">
        <v>Metros de hilo</v>
      </c>
      <c r="D138" s="173">
        <f t="shared" si="11"/>
        <v>2.2417500000000001</v>
      </c>
      <c r="E138" s="173">
        <f t="shared" si="11"/>
        <v>2.2417500000000001</v>
      </c>
    </row>
    <row r="139" spans="2:7" x14ac:dyDescent="0.25">
      <c r="B139" s="143" t="str">
        <v xml:space="preserve"> Envasar </v>
      </c>
      <c r="C139" s="143" t="str">
        <v>Cajas</v>
      </c>
      <c r="D139" s="173">
        <f t="shared" si="11"/>
        <v>0.30066666666666664</v>
      </c>
      <c r="E139" s="173">
        <f t="shared" si="11"/>
        <v>0.30066666666666664</v>
      </c>
    </row>
    <row r="140" spans="2:7" x14ac:dyDescent="0.25">
      <c r="B140" s="144" t="str">
        <v>Total coste producción</v>
      </c>
      <c r="C140" s="156">
        <v>0</v>
      </c>
      <c r="D140" s="174">
        <f>SUM(D134:D139)</f>
        <v>8.4915537072168199</v>
      </c>
      <c r="E140" s="174">
        <f>SUM(E134:E139)</f>
        <v>8.4946796261165112</v>
      </c>
    </row>
    <row r="141" spans="2:7" x14ac:dyDescent="0.25">
      <c r="B141" s="214" t="str">
        <v>Unidades Producidas</v>
      </c>
      <c r="C141" s="214">
        <v>0</v>
      </c>
      <c r="D141" s="162">
        <v>1</v>
      </c>
      <c r="E141" s="162">
        <v>1</v>
      </c>
    </row>
    <row r="144" spans="2:7" ht="15.75" thickBot="1" x14ac:dyDescent="0.3">
      <c r="B144" t="s">
        <v>134</v>
      </c>
    </row>
    <row r="145" spans="2:7" ht="15.75" thickBot="1" x14ac:dyDescent="0.3">
      <c r="C145" s="212" t="s">
        <v>92</v>
      </c>
      <c r="D145" s="213"/>
      <c r="E145" s="164"/>
      <c r="F145" s="212" t="s">
        <v>93</v>
      </c>
      <c r="G145" s="213"/>
    </row>
    <row r="146" spans="2:7" ht="15.75" thickBot="1" x14ac:dyDescent="0.3">
      <c r="B146" s="20" t="str">
        <f t="array" ref="B146:B156">B41:B51</f>
        <v xml:space="preserve">NOMBRE DEL FACTOR PRODUCTIVO </v>
      </c>
      <c r="C146" s="165" t="str">
        <f t="array" ref="C146:C156">H41:H51</f>
        <v>Manipular</v>
      </c>
      <c r="D146" s="165" t="s">
        <v>91</v>
      </c>
      <c r="E146" s="165" t="s">
        <v>94</v>
      </c>
      <c r="F146" s="165" t="s">
        <v>36</v>
      </c>
      <c r="G146" s="165" t="s">
        <v>91</v>
      </c>
    </row>
    <row r="147" spans="2:7" ht="15.75" thickBot="1" x14ac:dyDescent="0.3">
      <c r="B147" s="22" t="str">
        <v xml:space="preserve">Hilo Metálico </v>
      </c>
      <c r="C147" s="24">
        <v>15000</v>
      </c>
      <c r="D147" s="166">
        <f>C147/$C$156</f>
        <v>5.5760008921601427E-2</v>
      </c>
      <c r="E147" s="166">
        <v>0</v>
      </c>
      <c r="F147" s="75">
        <f>C147*(1+E147)</f>
        <v>15000</v>
      </c>
      <c r="G147" s="167">
        <f>F147/$F$156</f>
        <v>9.6452477864156325E-2</v>
      </c>
    </row>
    <row r="148" spans="2:7" ht="15.75" thickBot="1" x14ac:dyDescent="0.3">
      <c r="B148" s="22" t="str">
        <v xml:space="preserve">Plástico transparente </v>
      </c>
      <c r="C148" s="168">
        <v>0</v>
      </c>
      <c r="D148" s="166">
        <f t="shared" ref="D148:D155" si="12">C148/$C$156</f>
        <v>0</v>
      </c>
      <c r="E148" s="166">
        <v>0</v>
      </c>
      <c r="F148" s="75">
        <f t="shared" ref="F148:F155" si="13">C148*(1+E148)</f>
        <v>0</v>
      </c>
      <c r="G148" s="167">
        <f t="shared" ref="G148:G156" si="14">F148/$F$156</f>
        <v>0</v>
      </c>
    </row>
    <row r="149" spans="2:7" ht="15.75" thickBot="1" x14ac:dyDescent="0.3">
      <c r="B149" s="22" t="str">
        <v>Colorante Plástico</v>
      </c>
      <c r="C149" s="168">
        <v>0</v>
      </c>
      <c r="D149" s="166">
        <f t="shared" si="12"/>
        <v>0</v>
      </c>
      <c r="E149" s="166">
        <v>0</v>
      </c>
      <c r="F149" s="75">
        <f t="shared" si="13"/>
        <v>0</v>
      </c>
      <c r="G149" s="167">
        <f t="shared" si="14"/>
        <v>0</v>
      </c>
    </row>
    <row r="150" spans="2:7" ht="15.75" thickBot="1" x14ac:dyDescent="0.3">
      <c r="B150" s="22" t="str">
        <v>Liquido Galvanizador</v>
      </c>
      <c r="C150" s="168">
        <v>0</v>
      </c>
      <c r="D150" s="166">
        <f t="shared" si="12"/>
        <v>0</v>
      </c>
      <c r="E150" s="166">
        <v>0</v>
      </c>
      <c r="F150" s="75">
        <f t="shared" si="13"/>
        <v>0</v>
      </c>
      <c r="G150" s="167">
        <f t="shared" si="14"/>
        <v>0</v>
      </c>
    </row>
    <row r="151" spans="2:7" ht="15.75" thickBot="1" x14ac:dyDescent="0.3">
      <c r="B151" s="22" t="str">
        <v>Aditivos</v>
      </c>
      <c r="C151" s="168">
        <v>0</v>
      </c>
      <c r="D151" s="166">
        <f t="shared" si="12"/>
        <v>0</v>
      </c>
      <c r="E151" s="166">
        <v>0</v>
      </c>
      <c r="F151" s="75">
        <f t="shared" si="13"/>
        <v>0</v>
      </c>
      <c r="G151" s="167">
        <f t="shared" si="14"/>
        <v>0</v>
      </c>
    </row>
    <row r="152" spans="2:7" ht="15.75" thickBot="1" x14ac:dyDescent="0.3">
      <c r="B152" s="22" t="str">
        <v>Electricidad</v>
      </c>
      <c r="C152" s="24">
        <v>36660</v>
      </c>
      <c r="D152" s="166">
        <f t="shared" si="12"/>
        <v>0.1362774618043939</v>
      </c>
      <c r="E152" s="166">
        <v>0.2</v>
      </c>
      <c r="F152" s="75">
        <f t="shared" si="13"/>
        <v>43992</v>
      </c>
      <c r="G152" s="167">
        <f t="shared" si="14"/>
        <v>0.2828758270799977</v>
      </c>
    </row>
    <row r="153" spans="2:7" ht="30.75" thickBot="1" x14ac:dyDescent="0.3">
      <c r="B153" s="25" t="str">
        <v>Operarios (Sueldo+ Cargas sociales)</v>
      </c>
      <c r="C153" s="24">
        <v>153000</v>
      </c>
      <c r="D153" s="166">
        <f t="shared" si="12"/>
        <v>0.56875209100033453</v>
      </c>
      <c r="E153" s="166">
        <v>-1</v>
      </c>
      <c r="F153" s="75">
        <f t="shared" si="13"/>
        <v>0</v>
      </c>
      <c r="G153" s="167">
        <f t="shared" si="14"/>
        <v>0</v>
      </c>
    </row>
    <row r="154" spans="2:7" ht="30.75" thickBot="1" x14ac:dyDescent="0.3">
      <c r="B154" s="25" t="str">
        <v>Amortización maquinaria</v>
      </c>
      <c r="C154" s="24">
        <v>64350</v>
      </c>
      <c r="D154" s="166">
        <f t="shared" si="12"/>
        <v>0.23921043827367011</v>
      </c>
      <c r="E154" s="166">
        <v>0.5</v>
      </c>
      <c r="F154" s="75">
        <f t="shared" si="13"/>
        <v>96525</v>
      </c>
      <c r="G154" s="167">
        <f t="shared" si="14"/>
        <v>0.62067169505584596</v>
      </c>
    </row>
    <row r="155" spans="2:7" ht="15.75" thickBot="1" x14ac:dyDescent="0.3">
      <c r="B155" s="22" t="str">
        <v>Cajas de cartón</v>
      </c>
      <c r="C155" s="168">
        <v>0</v>
      </c>
      <c r="D155" s="166">
        <f t="shared" si="12"/>
        <v>0</v>
      </c>
      <c r="E155" s="166">
        <v>0</v>
      </c>
      <c r="F155" s="75">
        <f t="shared" si="13"/>
        <v>0</v>
      </c>
      <c r="G155" s="167">
        <f t="shared" si="14"/>
        <v>0</v>
      </c>
    </row>
    <row r="156" spans="2:7" ht="15.75" thickBot="1" x14ac:dyDescent="0.3">
      <c r="B156" s="22" t="str">
        <v>Suma</v>
      </c>
      <c r="C156" s="24">
        <v>269010</v>
      </c>
      <c r="D156" s="166">
        <v>1</v>
      </c>
      <c r="F156" s="93">
        <f>SUM(F147:F155)</f>
        <v>155517</v>
      </c>
      <c r="G156" s="167">
        <f t="shared" si="14"/>
        <v>1</v>
      </c>
    </row>
    <row r="157" spans="2:7" ht="15.75" thickBot="1" x14ac:dyDescent="0.3">
      <c r="B157" s="22" t="s">
        <v>95</v>
      </c>
      <c r="C157" s="24">
        <f>$D$75</f>
        <v>720000</v>
      </c>
      <c r="F157" s="93">
        <f>C157</f>
        <v>720000</v>
      </c>
    </row>
    <row r="158" spans="2:7" ht="15.75" thickBot="1" x14ac:dyDescent="0.3">
      <c r="B158" s="22" t="s">
        <v>96</v>
      </c>
      <c r="C158" s="172">
        <f>C156/C157</f>
        <v>0.37362499999999998</v>
      </c>
      <c r="F158" s="171">
        <f>F156/F157</f>
        <v>0.21599583333333333</v>
      </c>
    </row>
  </sheetData>
  <mergeCells count="19">
    <mergeCell ref="D53:I53"/>
    <mergeCell ref="B2:D2"/>
    <mergeCell ref="C12:H12"/>
    <mergeCell ref="B25:I25"/>
    <mergeCell ref="D26:I26"/>
    <mergeCell ref="D40:I40"/>
    <mergeCell ref="C145:D145"/>
    <mergeCell ref="F145:G145"/>
    <mergeCell ref="D54:I54"/>
    <mergeCell ref="B66:I66"/>
    <mergeCell ref="B69:G69"/>
    <mergeCell ref="C79:I79"/>
    <mergeCell ref="C89:I89"/>
    <mergeCell ref="B127:C127"/>
    <mergeCell ref="B141:C141"/>
    <mergeCell ref="F134:F135"/>
    <mergeCell ref="G134:G135"/>
    <mergeCell ref="F136:F137"/>
    <mergeCell ref="G136:G137"/>
  </mergeCells>
  <conditionalFormatting sqref="D42:I50">
    <cfRule type="expression" dxfId="6" priority="7">
      <formula>D42=0</formula>
    </cfRule>
  </conditionalFormatting>
  <conditionalFormatting sqref="D56:I64">
    <cfRule type="expression" dxfId="5" priority="6">
      <formula>D56=0</formula>
    </cfRule>
  </conditionalFormatting>
  <conditionalFormatting sqref="D81:I86">
    <cfRule type="expression" dxfId="4" priority="5">
      <formula>D81=0</formula>
    </cfRule>
  </conditionalFormatting>
  <conditionalFormatting sqref="D91:H96">
    <cfRule type="expression" dxfId="3" priority="4">
      <formula>D91=0</formula>
    </cfRule>
  </conditionalFormatting>
  <conditionalFormatting sqref="D109:H114">
    <cfRule type="expression" dxfId="2" priority="3">
      <formula>D109=0</formula>
    </cfRule>
  </conditionalFormatting>
  <conditionalFormatting sqref="D120:G125">
    <cfRule type="expression" dxfId="1" priority="2">
      <formula>D120=0</formula>
    </cfRule>
  </conditionalFormatting>
  <conditionalFormatting sqref="D134:E139">
    <cfRule type="expression" dxfId="0" priority="1">
      <formula>D134=0</formula>
    </cfRule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6</vt:i4>
      </vt:variant>
    </vt:vector>
  </HeadingPairs>
  <TitlesOfParts>
    <vt:vector size="12" baseType="lpstr">
      <vt:lpstr>Datos Enunciado</vt:lpstr>
      <vt:lpstr>Hoja1</vt:lpstr>
      <vt:lpstr>Solución</vt:lpstr>
      <vt:lpstr>Hoja3</vt:lpstr>
      <vt:lpstr>Datos Enunciado (2)</vt:lpstr>
      <vt:lpstr>Solución (2)</vt:lpstr>
      <vt:lpstr>'Datos Enunciado'!_Ref410473305</vt:lpstr>
      <vt:lpstr>'Datos Enunciado (2)'!_Ref410473305</vt:lpstr>
      <vt:lpstr>Solución!_Ref410500562</vt:lpstr>
      <vt:lpstr>'Solución (2)'!_Ref410500562</vt:lpstr>
      <vt:lpstr>'Datos Enunciado'!_Ref410501212</vt:lpstr>
      <vt:lpstr>'Datos Enunciado (2)'!_Ref410501212</vt:lpstr>
    </vt:vector>
  </TitlesOfParts>
  <Company>Universidad de Castilla-La Mancha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CHAMIZO GONZALEZ</dc:creator>
  <cp:lastModifiedBy>ELISA ISABEL CANO MONTERO</cp:lastModifiedBy>
  <dcterms:created xsi:type="dcterms:W3CDTF">2015-01-17T15:23:37Z</dcterms:created>
  <dcterms:modified xsi:type="dcterms:W3CDTF">2015-02-05T18:25:42Z</dcterms:modified>
</cp:coreProperties>
</file>