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tirado\Documents\Contabilidad Costes\"/>
    </mc:Choice>
  </mc:AlternateContent>
  <bookViews>
    <workbookView xWindow="120" yWindow="120" windowWidth="18915" windowHeight="8475" activeTab="2"/>
  </bookViews>
  <sheets>
    <sheet name="1.ST" sheetId="1" r:id="rId1"/>
    <sheet name="2.ABC" sheetId="2" r:id="rId2"/>
    <sheet name="3.ST-ABC" sheetId="3" r:id="rId3"/>
  </sheets>
  <calcPr calcId="152511"/>
</workbook>
</file>

<file path=xl/calcChain.xml><?xml version="1.0" encoding="utf-8"?>
<calcChain xmlns="http://schemas.openxmlformats.org/spreadsheetml/2006/main">
  <c r="D18" i="1" l="1"/>
  <c r="C18" i="1"/>
  <c r="B18" i="1"/>
  <c r="D16" i="1"/>
  <c r="C16" i="1"/>
  <c r="B16" i="1"/>
  <c r="D22" i="1"/>
  <c r="C22" i="1"/>
  <c r="B22" i="1"/>
  <c r="D14" i="1"/>
  <c r="C14" i="1"/>
  <c r="B14" i="1"/>
  <c r="D8" i="3" l="1"/>
  <c r="C8" i="3"/>
  <c r="B8" i="3"/>
  <c r="E8" i="3" s="1"/>
  <c r="B25" i="1"/>
  <c r="C25" i="1"/>
  <c r="D25" i="1"/>
  <c r="F18" i="2"/>
  <c r="H25" i="2"/>
  <c r="E23" i="2"/>
  <c r="D7" i="1"/>
  <c r="D13" i="1" s="1"/>
  <c r="D23" i="1" s="1"/>
  <c r="C7" i="1"/>
  <c r="C13" i="1" s="1"/>
  <c r="C23" i="1" s="1"/>
  <c r="B7" i="1"/>
  <c r="B13" i="1" s="1"/>
  <c r="B23" i="1" s="1"/>
  <c r="E16" i="3"/>
  <c r="D6" i="3"/>
  <c r="C6" i="3"/>
  <c r="B6" i="3"/>
  <c r="E5" i="3"/>
  <c r="E6" i="3" l="1"/>
  <c r="C11" i="3"/>
  <c r="B11" i="3"/>
  <c r="D11" i="3"/>
  <c r="C8" i="1"/>
  <c r="B8" i="1"/>
  <c r="D8" i="1"/>
  <c r="H24" i="2"/>
  <c r="H27" i="2" s="1"/>
  <c r="B47" i="2" s="1"/>
  <c r="G24" i="2"/>
  <c r="F24" i="2"/>
  <c r="D64" i="2"/>
  <c r="C64" i="2"/>
  <c r="B64" i="2"/>
  <c r="E63" i="2"/>
  <c r="D44" i="2"/>
  <c r="F25" i="2"/>
  <c r="F26" i="2"/>
  <c r="C22" i="2"/>
  <c r="B22" i="2"/>
  <c r="E22" i="2"/>
  <c r="D22" i="2"/>
  <c r="E21" i="2"/>
  <c r="D21" i="2"/>
  <c r="C21" i="2"/>
  <c r="C27" i="2" s="1"/>
  <c r="B42" i="2" s="1"/>
  <c r="B21" i="2"/>
  <c r="E37" i="2"/>
  <c r="E36" i="2"/>
  <c r="D47" i="2" s="1"/>
  <c r="E35" i="2"/>
  <c r="E12" i="1"/>
  <c r="C26" i="1"/>
  <c r="B26" i="1"/>
  <c r="D24" i="1"/>
  <c r="C24" i="1"/>
  <c r="B24" i="1"/>
  <c r="D26" i="1"/>
  <c r="D27" i="2" l="1"/>
  <c r="B43" i="2" s="1"/>
  <c r="E27" i="2"/>
  <c r="B44" i="2" s="1"/>
  <c r="C27" i="1"/>
  <c r="E47" i="2"/>
  <c r="C57" i="2" s="1"/>
  <c r="G27" i="2"/>
  <c r="B46" i="2" s="1"/>
  <c r="D45" i="2"/>
  <c r="D46" i="2"/>
  <c r="E64" i="2"/>
  <c r="E66" i="2" s="1"/>
  <c r="E67" i="2" s="1"/>
  <c r="F27" i="2"/>
  <c r="B45" i="2" s="1"/>
  <c r="B27" i="2"/>
  <c r="B41" i="2" s="1"/>
  <c r="E32" i="2"/>
  <c r="D42" i="2" s="1"/>
  <c r="E42" i="2" s="1"/>
  <c r="E31" i="2"/>
  <c r="D41" i="2" s="1"/>
  <c r="E33" i="2"/>
  <c r="D43" i="2" s="1"/>
  <c r="E43" i="2" s="1"/>
  <c r="E34" i="2"/>
  <c r="E44" i="2" s="1"/>
  <c r="D27" i="1"/>
  <c r="B27" i="1"/>
  <c r="E22" i="1"/>
  <c r="B48" i="2" l="1"/>
  <c r="E41" i="2"/>
  <c r="D51" i="2" s="1"/>
  <c r="B28" i="1"/>
  <c r="B29" i="1"/>
  <c r="D28" i="1"/>
  <c r="D29" i="1"/>
  <c r="C28" i="1"/>
  <c r="C29" i="1"/>
  <c r="D57" i="2"/>
  <c r="E27" i="1"/>
  <c r="E28" i="1" s="1"/>
  <c r="E45" i="2"/>
  <c r="C55" i="2" s="1"/>
  <c r="E46" i="2"/>
  <c r="C56" i="2" s="1"/>
  <c r="B57" i="2"/>
  <c r="E57" i="2" s="1"/>
  <c r="D53" i="2"/>
  <c r="B53" i="2"/>
  <c r="C53" i="2"/>
  <c r="C52" i="2"/>
  <c r="D52" i="2"/>
  <c r="B52" i="2"/>
  <c r="B51" i="2"/>
  <c r="C54" i="2"/>
  <c r="B54" i="2"/>
  <c r="I27" i="2"/>
  <c r="D56" i="2" l="1"/>
  <c r="B56" i="2"/>
  <c r="C51" i="2"/>
  <c r="D55" i="2"/>
  <c r="E51" i="2"/>
  <c r="E52" i="2"/>
  <c r="C58" i="2"/>
  <c r="C65" i="2" s="1"/>
  <c r="B55" i="2"/>
  <c r="E55" i="2" s="1"/>
  <c r="E53" i="2"/>
  <c r="E54" i="2"/>
  <c r="E56" i="2" l="1"/>
  <c r="B58" i="2"/>
  <c r="B65" i="2" s="1"/>
  <c r="B66" i="2" s="1"/>
  <c r="B67" i="2" s="1"/>
  <c r="C66" i="2"/>
  <c r="C67" i="2" s="1"/>
  <c r="C18" i="3"/>
  <c r="D58" i="2"/>
  <c r="D65" i="2" s="1"/>
  <c r="C20" i="3" l="1"/>
  <c r="C21" i="3" s="1"/>
  <c r="B18" i="3"/>
  <c r="D66" i="2"/>
  <c r="D67" i="2" s="1"/>
  <c r="D18" i="3"/>
  <c r="E58" i="2"/>
  <c r="C22" i="3" l="1"/>
  <c r="D20" i="3"/>
  <c r="D21" i="3" s="1"/>
  <c r="B20" i="3"/>
  <c r="B21" i="3" s="1"/>
  <c r="E18" i="3"/>
  <c r="D22" i="3"/>
  <c r="B22" i="3" l="1"/>
  <c r="E20" i="3"/>
  <c r="C19" i="3"/>
  <c r="B19" i="3"/>
  <c r="D19" i="3"/>
  <c r="E19" i="3" l="1"/>
</calcChain>
</file>

<file path=xl/comments1.xml><?xml version="1.0" encoding="utf-8"?>
<comments xmlns="http://schemas.openxmlformats.org/spreadsheetml/2006/main">
  <authors>
    <author>ptirado</author>
  </authors>
  <commentList>
    <comment ref="D44" authorId="0" shapeId="0">
      <text>
        <r>
          <rPr>
            <b/>
            <sz val="9"/>
            <color indexed="81"/>
            <rFont val="Tahoma"/>
            <family val="2"/>
          </rPr>
          <t>ptirado:</t>
        </r>
        <r>
          <rPr>
            <sz val="9"/>
            <color indexed="81"/>
            <rFont val="Tahoma"/>
            <family val="2"/>
          </rPr>
          <t xml:space="preserve">
Las entregas on-line no generan coste.</t>
        </r>
      </text>
    </comment>
  </commentList>
</comments>
</file>

<file path=xl/sharedStrings.xml><?xml version="1.0" encoding="utf-8"?>
<sst xmlns="http://schemas.openxmlformats.org/spreadsheetml/2006/main" count="163" uniqueCount="95">
  <si>
    <t>Franquicia gimnasios</t>
  </si>
  <si>
    <t>Tiendas Dietética</t>
  </si>
  <si>
    <t>Venta on-line</t>
  </si>
  <si>
    <t>TOTAL</t>
  </si>
  <si>
    <t>Ventas</t>
  </si>
  <si>
    <r>
      <t>-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Coste de los productos vendidos</t>
    </r>
  </si>
  <si>
    <t>% ventas</t>
  </si>
  <si>
    <t>- Gastos almacén y generales (% ventas)</t>
  </si>
  <si>
    <t>Resultado/ventas (%)</t>
  </si>
  <si>
    <t>= MARGEN DE VENTAS</t>
  </si>
  <si>
    <t>= RESULTADO</t>
  </si>
  <si>
    <t>nº de órdenes</t>
  </si>
  <si>
    <t>nº de unidades solicitadas fuera de stock</t>
  </si>
  <si>
    <t>nº entregas</t>
  </si>
  <si>
    <t>coste medio por unidad</t>
  </si>
  <si>
    <t>precio venta promedio</t>
  </si>
  <si>
    <t>Nº de acciones de captación y retención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</si>
  <si>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Gestión de unidades en almacén</t>
    </r>
  </si>
  <si>
    <t>Nº unidades en almacén</t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</si>
  <si>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Gestión de unidades fuera de stock</t>
    </r>
  </si>
  <si>
    <t>Nº unidades fuera de stock</t>
  </si>
  <si>
    <t>Nº órdenes de pedido</t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</si>
  <si>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Entrega de pedidos</t>
    </r>
  </si>
  <si>
    <t>Nº de entregas</t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</si>
  <si>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Captación y retención de clientes</t>
    </r>
  </si>
  <si>
    <t>Nº de líneas</t>
  </si>
  <si>
    <r>
      <t>7.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Proceso EDI de gestión de clientes</t>
    </r>
  </si>
  <si>
    <t>Nº de clientes EDI</t>
  </si>
  <si>
    <r>
      <t>6.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Proceso manual gestión de clientes</t>
    </r>
  </si>
  <si>
    <t>- Gastos almacén y generales (ABC)</t>
  </si>
  <si>
    <t>= RESULTADO (Sistema Tradicional)</t>
  </si>
  <si>
    <t>= RESULTADO (ABC)</t>
  </si>
  <si>
    <t>Costes del personal almacén</t>
  </si>
  <si>
    <t>Gastos de almacén</t>
  </si>
  <si>
    <t>Transporte de ventas</t>
  </si>
  <si>
    <t>Costes del personal comercial</t>
  </si>
  <si>
    <t>Servicios profesionales</t>
  </si>
  <si>
    <t>Nº de acciones</t>
  </si>
  <si>
    <t>Gestión de unidades en almacén</t>
  </si>
  <si>
    <t>Gestión de unidades fuera de stock</t>
  </si>
  <si>
    <t>Entrega de pedidos</t>
  </si>
  <si>
    <t>Captación y retención de clientes</t>
  </si>
  <si>
    <t>Proceso manual de gestión de clientes</t>
  </si>
  <si>
    <t>Proceso EDI de gestión de clientes</t>
  </si>
  <si>
    <t>SISTEMA TRADICIONAL</t>
  </si>
  <si>
    <t>SISTEMA ABC</t>
  </si>
  <si>
    <t>nº unidades</t>
  </si>
  <si>
    <t xml:space="preserve">coste medio de los productos vendidos por orden </t>
  </si>
  <si>
    <t>margen de ventas unitario</t>
  </si>
  <si>
    <t>rentabilidad por unidad</t>
  </si>
  <si>
    <t>nº unidades solicitadas disponibles en el almacén</t>
  </si>
  <si>
    <t>SISTEMA DE COSTES TRADICIONAL</t>
  </si>
  <si>
    <t>SISTEMA DE COSTES BASADO EN LAS ACTIVIDADES ABC</t>
  </si>
  <si>
    <t>ANÁLISIS COMPARATIVO SISTEMA DE COSTES TRADICIONAL-SISTEMA ABC</t>
  </si>
  <si>
    <t>1. Análisis de las Ventas</t>
  </si>
  <si>
    <t>2. Análisis de los costes unitarios</t>
  </si>
  <si>
    <t>3. Márgenes y Resultados unitarios</t>
  </si>
  <si>
    <t>Inductores de coste</t>
  </si>
  <si>
    <t>Nº inductores</t>
  </si>
  <si>
    <t>Coste unitario inductor</t>
  </si>
  <si>
    <t>1. Márgenes y Resultados Sistema Tradicional</t>
  </si>
  <si>
    <t>2. Márgenes y Resultados Sistema ABC</t>
  </si>
  <si>
    <t>Promociones y gastos de publicidad</t>
  </si>
  <si>
    <t>Tramitación de órdenes de pedido</t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</si>
  <si>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Tramitación de órdenes de pedido</t>
    </r>
  </si>
  <si>
    <t>criterios de asignación</t>
  </si>
  <si>
    <t>% tiempo de dedicación a las actividades de almacén</t>
  </si>
  <si>
    <t>% tiempo de dedicación a las actividades comerciales</t>
  </si>
  <si>
    <t>% subcontratación representantes para captación y % mantenimiento de la plataforma EDI</t>
  </si>
  <si>
    <t>nº de líneas introducidas manualmente</t>
  </si>
  <si>
    <t>tiempo promedio de almacén</t>
  </si>
  <si>
    <t>--</t>
  </si>
  <si>
    <t>Coste de la actividad</t>
  </si>
  <si>
    <t>coste medio de los productos vendidos por entrega</t>
  </si>
  <si>
    <t>asignación directa entrega de pedidos</t>
  </si>
  <si>
    <t>asignación directa captación y retención de clientes</t>
  </si>
  <si>
    <t>1. Definición de las actividades</t>
  </si>
  <si>
    <t>2. Identificación de los costes indirectos y de sus criterios de asignación a las actividades</t>
  </si>
  <si>
    <t>3. Determinación del coste de las Actividades</t>
  </si>
  <si>
    <t>6. Imputación del coste de las Actividades a los Canales</t>
  </si>
  <si>
    <t>7. Márgenes y Resultados unitarios</t>
  </si>
  <si>
    <t>4. Identificación de los inductores de coste o medidas de la actividad</t>
  </si>
  <si>
    <r>
      <t>1.</t>
    </r>
    <r>
      <rPr>
        <sz val="7"/>
        <color theme="0"/>
        <rFont val="Times New Roman"/>
        <family val="1"/>
      </rPr>
      <t xml:space="preserve">    </t>
    </r>
    <r>
      <rPr>
        <sz val="11"/>
        <color theme="0"/>
        <rFont val="Calibri"/>
        <family val="2"/>
        <scheme val="minor"/>
      </rPr>
      <t>Gestión de unidades en almacén</t>
    </r>
  </si>
  <si>
    <r>
      <t>2.</t>
    </r>
    <r>
      <rPr>
        <sz val="7"/>
        <color theme="0"/>
        <rFont val="Times New Roman"/>
        <family val="1"/>
      </rPr>
      <t xml:space="preserve">    </t>
    </r>
    <r>
      <rPr>
        <sz val="11"/>
        <color theme="0"/>
        <rFont val="Calibri"/>
        <family val="2"/>
        <scheme val="minor"/>
      </rPr>
      <t>Gestión de unidades fuera de stock</t>
    </r>
  </si>
  <si>
    <r>
      <t>3.</t>
    </r>
    <r>
      <rPr>
        <sz val="7"/>
        <color theme="0"/>
        <rFont val="Times New Roman"/>
        <family val="1"/>
      </rPr>
      <t xml:space="preserve">    </t>
    </r>
    <r>
      <rPr>
        <sz val="11"/>
        <color theme="0"/>
        <rFont val="Calibri"/>
        <family val="2"/>
        <scheme val="minor"/>
      </rPr>
      <t>Tramitación de órdenes de pedido</t>
    </r>
  </si>
  <si>
    <r>
      <t>4.</t>
    </r>
    <r>
      <rPr>
        <sz val="7"/>
        <color theme="0"/>
        <rFont val="Times New Roman"/>
        <family val="1"/>
      </rPr>
      <t xml:space="preserve">    </t>
    </r>
    <r>
      <rPr>
        <sz val="11"/>
        <color theme="0"/>
        <rFont val="Calibri"/>
        <family val="2"/>
        <scheme val="minor"/>
      </rPr>
      <t>Entrega de pedidos</t>
    </r>
  </si>
  <si>
    <r>
      <t>5.</t>
    </r>
    <r>
      <rPr>
        <sz val="7"/>
        <color theme="0"/>
        <rFont val="Times New Roman"/>
        <family val="1"/>
      </rPr>
      <t xml:space="preserve">    </t>
    </r>
    <r>
      <rPr>
        <sz val="11"/>
        <color theme="0"/>
        <rFont val="Calibri"/>
        <family val="2"/>
        <scheme val="minor"/>
      </rPr>
      <t>Captación y retención de clientes</t>
    </r>
  </si>
  <si>
    <r>
      <t>6.</t>
    </r>
    <r>
      <rPr>
        <sz val="7"/>
        <color theme="0"/>
        <rFont val="Times New Roman"/>
        <family val="1"/>
      </rPr>
      <t xml:space="preserve">    </t>
    </r>
    <r>
      <rPr>
        <sz val="11"/>
        <color theme="0"/>
        <rFont val="Calibri"/>
        <family val="2"/>
        <scheme val="minor"/>
      </rPr>
      <t>Proceso manual gestión de clientes</t>
    </r>
  </si>
  <si>
    <r>
      <t>7.</t>
    </r>
    <r>
      <rPr>
        <sz val="7"/>
        <color theme="0"/>
        <rFont val="Times New Roman"/>
        <family val="1"/>
      </rPr>
      <t xml:space="preserve">    </t>
    </r>
    <r>
      <rPr>
        <sz val="11"/>
        <color theme="0"/>
        <rFont val="Calibri"/>
        <family val="2"/>
        <scheme val="minor"/>
      </rPr>
      <t>Proceso EDI de gestión de clientes</t>
    </r>
  </si>
  <si>
    <t>% Gastos Generales (Sistema Tradicional)</t>
  </si>
  <si>
    <t>% Gastos Generales (ABC)</t>
  </si>
  <si>
    <t>Coste de los productos vendidos</t>
  </si>
  <si>
    <t>5. Determinación del coste unitario de los inductores de coste o medidas de la actividad</t>
  </si>
  <si>
    <t>3. Gráfica comparativa de los resultados obtenidos en cada sistema en los diferentes canales</t>
  </si>
  <si>
    <t>4. Gráfica comparativa de las rentabilidades obtenidas en cada sistema en los diferentes canales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</si>
</sst>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"/>
    <numFmt numFmtId="166" formatCode="#,##0.000"/>
  </numFmts>
  <fonts count="19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11"/>
      <color theme="1"/>
      <name val="Univers 45 Light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1">
    <xf numFmtId="0" fontId="0" fillId="0" borderId="0" xfId="0"/>
    <xf numFmtId="3" fontId="0" fillId="0" borderId="0" xfId="0" applyNumberFormat="1"/>
    <xf numFmtId="10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justify" wrapText="1"/>
    </xf>
    <xf numFmtId="10" fontId="0" fillId="0" borderId="0" xfId="0" applyNumberFormat="1" applyFill="1" applyBorder="1" applyAlignment="1">
      <alignment horizontal="center" wrapText="1"/>
    </xf>
    <xf numFmtId="9" fontId="0" fillId="0" borderId="0" xfId="0" applyNumberFormat="1" applyFill="1" applyBorder="1" applyAlignment="1">
      <alignment horizontal="center" wrapText="1"/>
    </xf>
    <xf numFmtId="0" fontId="1" fillId="2" borderId="3" xfId="0" applyFont="1" applyFill="1" applyBorder="1" applyAlignment="1">
      <alignment horizontal="justify" wrapText="1"/>
    </xf>
    <xf numFmtId="0" fontId="0" fillId="0" borderId="0" xfId="0" applyBorder="1" applyAlignment="1">
      <alignment horizontal="justify" vertical="top" wrapText="1"/>
    </xf>
    <xf numFmtId="3" fontId="0" fillId="0" borderId="0" xfId="0" applyNumberForma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0" fillId="0" borderId="0" xfId="0" applyNumberFormat="1" applyBorder="1"/>
    <xf numFmtId="0" fontId="0" fillId="0" borderId="0" xfId="0" applyBorder="1"/>
    <xf numFmtId="0" fontId="6" fillId="4" borderId="4" xfId="0" applyFont="1" applyFill="1" applyBorder="1" applyAlignment="1">
      <alignment horizontal="left" vertical="top" wrapText="1"/>
    </xf>
    <xf numFmtId="3" fontId="6" fillId="4" borderId="4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justify" vertical="top" wrapText="1"/>
    </xf>
    <xf numFmtId="3" fontId="0" fillId="0" borderId="4" xfId="0" applyNumberForma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justify" vertical="top" wrapText="1"/>
    </xf>
    <xf numFmtId="4" fontId="6" fillId="4" borderId="4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0" xfId="0" quotePrefix="1" applyFill="1" applyBorder="1" applyAlignment="1">
      <alignment horizontal="justify" vertical="top" wrapText="1"/>
    </xf>
    <xf numFmtId="3" fontId="0" fillId="3" borderId="0" xfId="0" applyNumberFormat="1" applyFill="1" applyBorder="1" applyAlignment="1">
      <alignment horizontal="center" vertical="top" wrapText="1"/>
    </xf>
    <xf numFmtId="10" fontId="0" fillId="0" borderId="0" xfId="0" applyNumberFormat="1" applyBorder="1" applyAlignment="1">
      <alignment horizontal="center" vertical="top" wrapText="1"/>
    </xf>
    <xf numFmtId="9" fontId="0" fillId="0" borderId="0" xfId="0" applyNumberFormat="1" applyBorder="1" applyAlignment="1">
      <alignment horizontal="center" vertical="top" wrapText="1"/>
    </xf>
    <xf numFmtId="4" fontId="0" fillId="0" borderId="0" xfId="0" applyNumberFormat="1" applyBorder="1" applyAlignment="1">
      <alignment horizontal="center" vertical="top" wrapText="1"/>
    </xf>
    <xf numFmtId="4" fontId="0" fillId="3" borderId="0" xfId="0" applyNumberFormat="1" applyFill="1" applyBorder="1" applyAlignment="1">
      <alignment horizontal="center" vertical="top" wrapText="1"/>
    </xf>
    <xf numFmtId="0" fontId="0" fillId="0" borderId="0" xfId="0" quotePrefix="1" applyFill="1" applyBorder="1" applyAlignment="1">
      <alignment horizontal="justify" vertical="top" wrapText="1"/>
    </xf>
    <xf numFmtId="3" fontId="0" fillId="0" borderId="0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justify" vertical="top" wrapText="1"/>
    </xf>
    <xf numFmtId="4" fontId="0" fillId="0" borderId="0" xfId="0" applyNumberFormat="1" applyFill="1" applyBorder="1" applyAlignment="1">
      <alignment horizontal="center" vertical="top" wrapText="1"/>
    </xf>
    <xf numFmtId="0" fontId="0" fillId="3" borderId="4" xfId="0" applyFill="1" applyBorder="1" applyAlignment="1">
      <alignment horizontal="justify" vertical="top" wrapText="1"/>
    </xf>
    <xf numFmtId="4" fontId="0" fillId="3" borderId="4" xfId="0" applyNumberForma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0" fillId="0" borderId="0" xfId="0" quotePrefix="1" applyBorder="1" applyAlignment="1">
      <alignment horizontal="justify" vertical="top" wrapText="1"/>
    </xf>
    <xf numFmtId="0" fontId="1" fillId="2" borderId="7" xfId="0" applyFont="1" applyFill="1" applyBorder="1" applyAlignment="1">
      <alignment horizontal="justify" wrapText="1"/>
    </xf>
    <xf numFmtId="0" fontId="3" fillId="2" borderId="2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top" wrapText="1"/>
    </xf>
    <xf numFmtId="4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0" fontId="9" fillId="2" borderId="2" xfId="1" applyNumberFormat="1" applyFont="1" applyFill="1" applyBorder="1" applyAlignment="1">
      <alignment horizontal="center" vertical="center" wrapText="1"/>
    </xf>
    <xf numFmtId="9" fontId="9" fillId="2" borderId="2" xfId="1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0" fillId="0" borderId="0" xfId="0" quotePrefix="1" applyFill="1" applyBorder="1" applyAlignment="1">
      <alignment horizontal="justify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justify" vertical="center" wrapText="1"/>
    </xf>
    <xf numFmtId="10" fontId="0" fillId="4" borderId="5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wrapText="1"/>
    </xf>
    <xf numFmtId="9" fontId="0" fillId="4" borderId="0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justify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 wrapText="1"/>
    </xf>
    <xf numFmtId="0" fontId="0" fillId="4" borderId="0" xfId="0" quotePrefix="1" applyFill="1" applyBorder="1" applyAlignment="1">
      <alignment horizontal="justify" vertical="center" wrapText="1"/>
    </xf>
    <xf numFmtId="10" fontId="0" fillId="4" borderId="0" xfId="1" applyNumberFormat="1" applyFont="1" applyFill="1" applyBorder="1" applyAlignment="1">
      <alignment horizontal="center" vertical="center" wrapText="1"/>
    </xf>
    <xf numFmtId="9" fontId="0" fillId="4" borderId="0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0" fillId="0" borderId="0" xfId="0" applyFont="1" applyBorder="1" applyAlignment="1">
      <alignment horizontal="justify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Rentabilidades (€/unidad)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77777777777801E-2"/>
          <c:y val="0.26878681831437751"/>
          <c:w val="0.93888888888888944"/>
          <c:h val="0.64325021872265953"/>
        </c:manualLayout>
      </c:layout>
      <c:barChart>
        <c:barDir val="col"/>
        <c:grouping val="clustered"/>
        <c:varyColors val="0"/>
        <c:ser>
          <c:idx val="1"/>
          <c:order val="0"/>
          <c:tx>
            <c:v>Sistema Tradicional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'3.ST-ABC'!$B$14:$D$14</c:f>
              <c:strCache>
                <c:ptCount val="3"/>
                <c:pt idx="0">
                  <c:v>Franquicia gimnasios</c:v>
                </c:pt>
                <c:pt idx="1">
                  <c:v>Tiendas Dietética</c:v>
                </c:pt>
                <c:pt idx="2">
                  <c:v>Venta on-line</c:v>
                </c:pt>
              </c:strCache>
            </c:strRef>
          </c:cat>
          <c:val>
            <c:numRef>
              <c:f>'3.ST-ABC'!$B$11:$D$11</c:f>
              <c:numCache>
                <c:formatCode>0.00</c:formatCode>
                <c:ptCount val="3"/>
                <c:pt idx="0">
                  <c:v>-2.9888888888888885</c:v>
                </c:pt>
                <c:pt idx="1">
                  <c:v>1.2777777777777777</c:v>
                </c:pt>
                <c:pt idx="2">
                  <c:v>10.833333333333334</c:v>
                </c:pt>
              </c:numCache>
            </c:numRef>
          </c:val>
        </c:ser>
        <c:ser>
          <c:idx val="0"/>
          <c:order val="1"/>
          <c:tx>
            <c:v>ABC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'3.ST-ABC'!$B$22:$D$22</c:f>
              <c:numCache>
                <c:formatCode>0.00</c:formatCode>
                <c:ptCount val="3"/>
                <c:pt idx="0">
                  <c:v>1.3032329889787599</c:v>
                </c:pt>
                <c:pt idx="1">
                  <c:v>-5.1506489176640589</c:v>
                </c:pt>
                <c:pt idx="2">
                  <c:v>4.307345424295141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1122096"/>
        <c:axId val="211122640"/>
      </c:barChart>
      <c:catAx>
        <c:axId val="2111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1122640"/>
        <c:crosses val="autoZero"/>
        <c:auto val="1"/>
        <c:lblAlgn val="ctr"/>
        <c:lblOffset val="100"/>
        <c:noMultiLvlLbl val="0"/>
      </c:catAx>
      <c:valAx>
        <c:axId val="21112264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11220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%Resultado/ventas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Sistema Tradicional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'3.ST-ABC'!$B$14:$D$14</c:f>
              <c:strCache>
                <c:ptCount val="3"/>
                <c:pt idx="0">
                  <c:v>Franquicia gimnasios</c:v>
                </c:pt>
                <c:pt idx="1">
                  <c:v>Tiendas Dietética</c:v>
                </c:pt>
                <c:pt idx="2">
                  <c:v>Venta on-line</c:v>
                </c:pt>
              </c:strCache>
            </c:strRef>
          </c:cat>
          <c:val>
            <c:numRef>
              <c:f>'3.ST-ABC'!$B$10:$D$10</c:f>
              <c:numCache>
                <c:formatCode>0.00%</c:formatCode>
                <c:ptCount val="3"/>
                <c:pt idx="0">
                  <c:v>-0.11208333333333333</c:v>
                </c:pt>
                <c:pt idx="1">
                  <c:v>3.833333333333333E-2</c:v>
                </c:pt>
                <c:pt idx="2">
                  <c:v>0.21666666666666667</c:v>
                </c:pt>
              </c:numCache>
            </c:numRef>
          </c:val>
        </c:ser>
        <c:ser>
          <c:idx val="1"/>
          <c:order val="1"/>
          <c:tx>
            <c:v>ABC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'3.ST-ABC'!$B$14:$D$14</c:f>
              <c:strCache>
                <c:ptCount val="3"/>
                <c:pt idx="0">
                  <c:v>Franquicia gimnasios</c:v>
                </c:pt>
                <c:pt idx="1">
                  <c:v>Tiendas Dietética</c:v>
                </c:pt>
                <c:pt idx="2">
                  <c:v>Venta on-line</c:v>
                </c:pt>
              </c:strCache>
            </c:strRef>
          </c:cat>
          <c:val>
            <c:numRef>
              <c:f>'3.ST-ABC'!$B$21:$D$21</c:f>
              <c:numCache>
                <c:formatCode>0.00%</c:formatCode>
                <c:ptCount val="3"/>
                <c:pt idx="0">
                  <c:v>4.8871237086703496E-2</c:v>
                </c:pt>
                <c:pt idx="1">
                  <c:v>-0.15451946752992177</c:v>
                </c:pt>
                <c:pt idx="2">
                  <c:v>8.6146908485902826E-2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2736880"/>
        <c:axId val="32743520"/>
      </c:barChart>
      <c:catAx>
        <c:axId val="112736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743520"/>
        <c:crosses val="autoZero"/>
        <c:auto val="1"/>
        <c:lblAlgn val="ctr"/>
        <c:lblOffset val="100"/>
        <c:noMultiLvlLbl val="0"/>
      </c:catAx>
      <c:valAx>
        <c:axId val="3274352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1127368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42</xdr:row>
      <xdr:rowOff>104774</xdr:rowOff>
    </xdr:from>
    <xdr:to>
      <xdr:col>3</xdr:col>
      <xdr:colOff>542925</xdr:colOff>
      <xdr:row>57</xdr:row>
      <xdr:rowOff>190499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24</xdr:row>
      <xdr:rowOff>133350</xdr:rowOff>
    </xdr:from>
    <xdr:to>
      <xdr:col>3</xdr:col>
      <xdr:colOff>581025</xdr:colOff>
      <xdr:row>39</xdr:row>
      <xdr:rowOff>38100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0" workbookViewId="0">
      <selection activeCell="E12" sqref="E12"/>
    </sheetView>
  </sheetViews>
  <sheetFormatPr baseColWidth="10" defaultRowHeight="15"/>
  <cols>
    <col min="1" max="1" width="46" customWidth="1"/>
    <col min="2" max="2" width="12.28515625" bestFit="1" customWidth="1"/>
  </cols>
  <sheetData>
    <row r="1" spans="1:5" ht="33" customHeight="1">
      <c r="A1" s="100" t="s">
        <v>51</v>
      </c>
      <c r="B1" s="100"/>
      <c r="C1" s="100"/>
      <c r="D1" s="100"/>
      <c r="E1" s="74"/>
    </row>
    <row r="2" spans="1:5" ht="31.5" customHeight="1" thickBot="1">
      <c r="A2" s="85" t="s">
        <v>54</v>
      </c>
      <c r="B2" s="82"/>
      <c r="C2" s="82"/>
      <c r="D2" s="82"/>
    </row>
    <row r="3" spans="1:5" ht="30">
      <c r="A3" s="42"/>
      <c r="B3" s="8" t="s">
        <v>0</v>
      </c>
      <c r="C3" s="8" t="s">
        <v>1</v>
      </c>
      <c r="D3" s="8" t="s">
        <v>2</v>
      </c>
      <c r="E3" s="43" t="s">
        <v>3</v>
      </c>
    </row>
    <row r="4" spans="1:5">
      <c r="A4" s="13" t="s">
        <v>4</v>
      </c>
      <c r="B4" s="14">
        <v>800000</v>
      </c>
      <c r="C4" s="14">
        <v>600000</v>
      </c>
      <c r="D4" s="14">
        <v>100000</v>
      </c>
      <c r="E4" s="14">
        <v>1500000</v>
      </c>
    </row>
    <row r="5" spans="1:5" ht="16.5" customHeight="1">
      <c r="A5" s="15" t="s">
        <v>50</v>
      </c>
      <c r="B5" s="16">
        <v>25000</v>
      </c>
      <c r="C5" s="16">
        <v>6000</v>
      </c>
      <c r="D5" s="16">
        <v>1500</v>
      </c>
      <c r="E5" s="17"/>
    </row>
    <row r="6" spans="1:5">
      <c r="A6" s="15" t="s">
        <v>12</v>
      </c>
      <c r="B6" s="16">
        <v>5000</v>
      </c>
      <c r="C6" s="16">
        <v>12000</v>
      </c>
      <c r="D6" s="16">
        <v>500</v>
      </c>
      <c r="E6" s="18"/>
    </row>
    <row r="7" spans="1:5">
      <c r="A7" s="21" t="s">
        <v>46</v>
      </c>
      <c r="B7" s="22">
        <f>SUM(B5:B6)</f>
        <v>30000</v>
      </c>
      <c r="C7" s="22">
        <f t="shared" ref="C7:D7" si="0">SUM(C5:C6)</f>
        <v>18000</v>
      </c>
      <c r="D7" s="22">
        <f t="shared" si="0"/>
        <v>2000</v>
      </c>
      <c r="E7" s="14"/>
    </row>
    <row r="8" spans="1:5">
      <c r="A8" s="19" t="s">
        <v>15</v>
      </c>
      <c r="B8" s="25">
        <f>B4/B7</f>
        <v>26.666666666666668</v>
      </c>
      <c r="C8" s="25">
        <f t="shared" ref="C8:D8" si="1">C4/C7</f>
        <v>33.333333333333336</v>
      </c>
      <c r="D8" s="25">
        <f t="shared" si="1"/>
        <v>50</v>
      </c>
      <c r="E8" s="18"/>
    </row>
    <row r="9" spans="1:5">
      <c r="A9" s="23"/>
      <c r="B9" s="16"/>
      <c r="C9" s="16"/>
      <c r="D9" s="16"/>
      <c r="E9" s="18"/>
    </row>
    <row r="10" spans="1:5" ht="30.75" customHeight="1" thickBot="1">
      <c r="A10" s="85" t="s">
        <v>55</v>
      </c>
      <c r="B10" s="85"/>
      <c r="C10" s="85"/>
      <c r="D10" s="85"/>
    </row>
    <row r="11" spans="1:5" ht="30">
      <c r="A11" s="12"/>
      <c r="B11" s="5" t="s">
        <v>0</v>
      </c>
      <c r="C11" s="5" t="s">
        <v>1</v>
      </c>
      <c r="D11" s="5" t="s">
        <v>2</v>
      </c>
      <c r="E11" s="26" t="s">
        <v>3</v>
      </c>
    </row>
    <row r="12" spans="1:5" ht="16.5" customHeight="1">
      <c r="A12" s="110" t="s">
        <v>91</v>
      </c>
      <c r="B12" s="14">
        <v>663000</v>
      </c>
      <c r="C12" s="14">
        <v>407000</v>
      </c>
      <c r="D12" s="14">
        <v>50000</v>
      </c>
      <c r="E12" s="14">
        <f>SUM(B12:D12)</f>
        <v>1120000</v>
      </c>
    </row>
    <row r="13" spans="1:5" ht="16.5" customHeight="1">
      <c r="A13" s="13" t="s">
        <v>46</v>
      </c>
      <c r="B13" s="14">
        <f>B7</f>
        <v>30000</v>
      </c>
      <c r="C13" s="14">
        <f>C7</f>
        <v>18000</v>
      </c>
      <c r="D13" s="14">
        <f>D7</f>
        <v>2000</v>
      </c>
      <c r="E13" s="14"/>
    </row>
    <row r="14" spans="1:5">
      <c r="A14" s="19" t="s">
        <v>14</v>
      </c>
      <c r="B14" s="25">
        <f>B12/B13</f>
        <v>22.1</v>
      </c>
      <c r="C14" s="25">
        <f>C12/C13</f>
        <v>22.611111111111111</v>
      </c>
      <c r="D14" s="25">
        <f>D12/D13</f>
        <v>25</v>
      </c>
    </row>
    <row r="15" spans="1:5">
      <c r="A15" s="15" t="s">
        <v>11</v>
      </c>
      <c r="B15" s="92">
        <v>6</v>
      </c>
      <c r="C15" s="92">
        <v>425</v>
      </c>
      <c r="D15" s="92">
        <v>100</v>
      </c>
      <c r="E15" s="18"/>
    </row>
    <row r="16" spans="1:5" ht="16.5" customHeight="1">
      <c r="A16" s="19" t="s">
        <v>47</v>
      </c>
      <c r="B16" s="20">
        <f>B12/B15</f>
        <v>110500</v>
      </c>
      <c r="C16" s="25">
        <f>C12/C15</f>
        <v>957.64705882352939</v>
      </c>
      <c r="D16" s="20">
        <f>D12/D15</f>
        <v>500</v>
      </c>
      <c r="E16" s="18"/>
    </row>
    <row r="17" spans="1:6">
      <c r="A17" s="15" t="s">
        <v>13</v>
      </c>
      <c r="B17" s="80">
        <v>162</v>
      </c>
      <c r="C17" s="80">
        <v>150</v>
      </c>
      <c r="D17" s="80">
        <v>100</v>
      </c>
    </row>
    <row r="18" spans="1:6" ht="16.5" customHeight="1">
      <c r="A18" s="19" t="s">
        <v>73</v>
      </c>
      <c r="B18" s="25">
        <f>B12/B17</f>
        <v>4092.5925925925926</v>
      </c>
      <c r="C18" s="25">
        <f t="shared" ref="C18:D18" si="2">C12/C17</f>
        <v>2713.3333333333335</v>
      </c>
      <c r="D18" s="20">
        <f t="shared" si="2"/>
        <v>500</v>
      </c>
      <c r="E18" s="14"/>
    </row>
    <row r="19" spans="1:6" s="7" customFormat="1" ht="16.5" customHeight="1">
      <c r="A19" s="23"/>
      <c r="B19" s="44"/>
      <c r="C19" s="44"/>
      <c r="D19" s="16"/>
      <c r="E19" s="34"/>
    </row>
    <row r="20" spans="1:6" ht="29.25" customHeight="1" thickBot="1">
      <c r="A20" s="85" t="s">
        <v>56</v>
      </c>
      <c r="B20" s="85"/>
      <c r="C20" s="85"/>
      <c r="D20" s="85"/>
    </row>
    <row r="21" spans="1:6" ht="32.25" customHeight="1">
      <c r="A21" s="12"/>
      <c r="B21" s="5" t="s">
        <v>0</v>
      </c>
      <c r="C21" s="5" t="s">
        <v>1</v>
      </c>
      <c r="D21" s="5" t="s">
        <v>2</v>
      </c>
      <c r="E21" s="26" t="s">
        <v>3</v>
      </c>
    </row>
    <row r="22" spans="1:6">
      <c r="A22" s="33" t="s">
        <v>9</v>
      </c>
      <c r="B22" s="34">
        <f>B4-B12</f>
        <v>137000</v>
      </c>
      <c r="C22" s="34">
        <f>C4-C12</f>
        <v>193000</v>
      </c>
      <c r="D22" s="34">
        <f>D4-D12</f>
        <v>50000</v>
      </c>
      <c r="E22" s="34">
        <f>SUM(B22:D22)</f>
        <v>380000</v>
      </c>
    </row>
    <row r="23" spans="1:6">
      <c r="A23" s="35" t="s">
        <v>46</v>
      </c>
      <c r="B23" s="34">
        <f>B13</f>
        <v>30000</v>
      </c>
      <c r="C23" s="34">
        <f>C13</f>
        <v>18000</v>
      </c>
      <c r="D23" s="34">
        <f>D13</f>
        <v>2000</v>
      </c>
      <c r="E23" s="34"/>
    </row>
    <row r="24" spans="1:6">
      <c r="A24" s="37" t="s">
        <v>48</v>
      </c>
      <c r="B24" s="38">
        <f>B22/B23</f>
        <v>4.5666666666666664</v>
      </c>
      <c r="C24" s="38">
        <f t="shared" ref="C24:D24" si="3">C22/C23</f>
        <v>10.722222222222221</v>
      </c>
      <c r="D24" s="38">
        <f t="shared" si="3"/>
        <v>25</v>
      </c>
      <c r="E24" s="34"/>
    </row>
    <row r="25" spans="1:6">
      <c r="A25" s="13" t="s">
        <v>6</v>
      </c>
      <c r="B25" s="29">
        <f>B4/$E$4</f>
        <v>0.53333333333333333</v>
      </c>
      <c r="C25" s="29">
        <f>C4/$E$4</f>
        <v>0.4</v>
      </c>
      <c r="D25" s="29">
        <f>D4/$E$4</f>
        <v>6.6666666666666666E-2</v>
      </c>
      <c r="E25" s="30">
        <v>1</v>
      </c>
      <c r="F25" s="2"/>
    </row>
    <row r="26" spans="1:6" ht="16.5" customHeight="1">
      <c r="A26" s="13" t="s">
        <v>7</v>
      </c>
      <c r="B26" s="31">
        <f>$E$26*B25</f>
        <v>-226666.66666666666</v>
      </c>
      <c r="C26" s="14">
        <f>$E$26*C25</f>
        <v>-170000</v>
      </c>
      <c r="D26" s="31">
        <f>$E$26*D25</f>
        <v>-28333.333333333332</v>
      </c>
      <c r="E26" s="14">
        <v>-425000</v>
      </c>
      <c r="F26" s="1"/>
    </row>
    <row r="27" spans="1:6">
      <c r="A27" s="33" t="s">
        <v>10</v>
      </c>
      <c r="B27" s="36">
        <f>B22+B26</f>
        <v>-89666.666666666657</v>
      </c>
      <c r="C27" s="34">
        <f>C22+C26</f>
        <v>23000</v>
      </c>
      <c r="D27" s="36">
        <f>D22+D26</f>
        <v>21666.666666666668</v>
      </c>
      <c r="E27" s="34">
        <f>SUM(B27:D27)</f>
        <v>-44999.999999999985</v>
      </c>
    </row>
    <row r="28" spans="1:6" ht="16.5" customHeight="1">
      <c r="A28" s="9" t="s">
        <v>8</v>
      </c>
      <c r="B28" s="10">
        <f>B27/B4</f>
        <v>-0.11208333333333333</v>
      </c>
      <c r="C28" s="10">
        <f>C27/C4</f>
        <v>3.833333333333333E-2</v>
      </c>
      <c r="D28" s="10">
        <f>D27/D4</f>
        <v>0.21666666666666667</v>
      </c>
      <c r="E28" s="11">
        <f>E27/E4</f>
        <v>-2.9999999999999992E-2</v>
      </c>
    </row>
    <row r="29" spans="1:6">
      <c r="A29" s="37" t="s">
        <v>49</v>
      </c>
      <c r="B29" s="38">
        <f>B27/B23</f>
        <v>-2.9888888888888885</v>
      </c>
      <c r="C29" s="38">
        <f>C27/C23</f>
        <v>1.2777777777777777</v>
      </c>
      <c r="D29" s="38">
        <f>D27/D23</f>
        <v>10.833333333333334</v>
      </c>
    </row>
  </sheetData>
  <mergeCells count="1">
    <mergeCell ref="A1:D1"/>
  </mergeCells>
  <pageMargins left="0.35433070866141736" right="0.70866141732283472" top="0.31496062992125984" bottom="0.19685039370078741" header="0.15748031496062992" footer="0.15748031496062992"/>
  <pageSetup paperSize="9" orientation="landscape" r:id="rId1"/>
  <headerFooter>
    <oddHeader>&amp;Rcaso NUTRIGIM (ABC)</oddHeader>
  </headerFooter>
  <ignoredErrors>
    <ignoredError sqref="B7:D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7"/>
  <sheetViews>
    <sheetView topLeftCell="A34" zoomScaleNormal="100" workbookViewId="0">
      <selection activeCell="A40" sqref="A40"/>
    </sheetView>
  </sheetViews>
  <sheetFormatPr baseColWidth="10" defaultRowHeight="15"/>
  <cols>
    <col min="1" max="1" width="38" customWidth="1"/>
    <col min="2" max="2" width="13.42578125" customWidth="1"/>
    <col min="3" max="3" width="14" customWidth="1"/>
    <col min="4" max="4" width="12" customWidth="1"/>
    <col min="5" max="5" width="12.85546875" customWidth="1"/>
    <col min="6" max="6" width="14" customWidth="1"/>
    <col min="7" max="7" width="14.28515625" customWidth="1"/>
    <col min="8" max="8" width="13.7109375" customWidth="1"/>
    <col min="9" max="9" width="11.7109375" customWidth="1"/>
  </cols>
  <sheetData>
    <row r="1" spans="1:9" ht="33" customHeight="1">
      <c r="A1" s="102" t="s">
        <v>52</v>
      </c>
      <c r="B1" s="103"/>
      <c r="C1" s="103"/>
      <c r="D1" s="103"/>
      <c r="E1" s="103"/>
      <c r="F1" s="103"/>
      <c r="G1" s="103"/>
      <c r="H1" s="104"/>
      <c r="I1" s="105"/>
    </row>
    <row r="2" spans="1:9" ht="33" customHeight="1">
      <c r="A2" s="98" t="s">
        <v>76</v>
      </c>
      <c r="B2" s="93"/>
      <c r="C2" s="93"/>
      <c r="D2" s="93"/>
      <c r="E2" s="93"/>
      <c r="F2" s="93"/>
      <c r="G2" s="93"/>
      <c r="H2" s="90"/>
      <c r="I2" s="76"/>
    </row>
    <row r="3" spans="1:9" ht="33" customHeight="1">
      <c r="A3" s="99" t="s">
        <v>82</v>
      </c>
      <c r="B3" s="93"/>
      <c r="C3" s="93"/>
      <c r="D3" s="93"/>
      <c r="E3" s="93"/>
      <c r="F3" s="93"/>
      <c r="G3" s="93"/>
      <c r="H3" s="90"/>
      <c r="I3" s="76"/>
    </row>
    <row r="4" spans="1:9" ht="33" customHeight="1">
      <c r="A4" s="99" t="s">
        <v>83</v>
      </c>
      <c r="B4" s="93"/>
      <c r="C4" s="93"/>
      <c r="D4" s="93"/>
      <c r="E4" s="93"/>
      <c r="F4" s="93"/>
      <c r="G4" s="93"/>
      <c r="H4" s="90"/>
      <c r="I4" s="76"/>
    </row>
    <row r="5" spans="1:9" ht="33" customHeight="1">
      <c r="A5" s="99" t="s">
        <v>84</v>
      </c>
      <c r="B5" s="93"/>
      <c r="C5" s="93"/>
      <c r="D5" s="93"/>
      <c r="E5" s="93"/>
      <c r="F5" s="93"/>
      <c r="G5" s="93"/>
      <c r="H5" s="90"/>
      <c r="I5" s="76"/>
    </row>
    <row r="6" spans="1:9" ht="33" customHeight="1">
      <c r="A6" s="99" t="s">
        <v>85</v>
      </c>
      <c r="B6" s="93"/>
      <c r="C6" s="93"/>
      <c r="D6" s="93"/>
      <c r="E6" s="93"/>
      <c r="F6" s="93"/>
      <c r="G6" s="93"/>
      <c r="H6" s="90"/>
      <c r="I6" s="76"/>
    </row>
    <row r="7" spans="1:9" ht="33" customHeight="1">
      <c r="A7" s="99" t="s">
        <v>86</v>
      </c>
      <c r="B7" s="93"/>
      <c r="C7" s="93"/>
      <c r="D7" s="93"/>
      <c r="E7" s="93"/>
      <c r="F7" s="93"/>
      <c r="G7" s="93"/>
      <c r="H7" s="90"/>
      <c r="I7" s="76"/>
    </row>
    <row r="8" spans="1:9" ht="33" customHeight="1">
      <c r="A8" s="99" t="s">
        <v>87</v>
      </c>
      <c r="B8" s="93"/>
      <c r="C8" s="93"/>
      <c r="D8" s="93"/>
      <c r="E8" s="93"/>
      <c r="F8" s="93"/>
      <c r="G8" s="93"/>
      <c r="H8" s="90"/>
      <c r="I8" s="76"/>
    </row>
    <row r="9" spans="1:9" ht="33" customHeight="1">
      <c r="A9" s="99" t="s">
        <v>88</v>
      </c>
      <c r="B9" s="93"/>
      <c r="C9" s="93"/>
      <c r="D9" s="93"/>
      <c r="E9" s="93"/>
      <c r="F9" s="93"/>
      <c r="G9" s="93"/>
      <c r="H9" s="90"/>
      <c r="I9" s="76"/>
    </row>
    <row r="10" spans="1:9" ht="33" customHeight="1" thickBot="1">
      <c r="A10" s="86" t="s">
        <v>77</v>
      </c>
      <c r="B10" s="89"/>
      <c r="C10" s="89"/>
      <c r="D10" s="89"/>
      <c r="E10" s="89"/>
      <c r="F10" s="89"/>
      <c r="G10" s="89"/>
      <c r="H10" s="90"/>
      <c r="I10" s="76"/>
    </row>
    <row r="11" spans="1:9" ht="33" customHeight="1">
      <c r="A11" s="12"/>
      <c r="B11" s="106" t="s">
        <v>65</v>
      </c>
      <c r="C11" s="107"/>
      <c r="D11" s="107"/>
      <c r="E11" s="107"/>
      <c r="F11" s="4" t="s">
        <v>3</v>
      </c>
      <c r="G11" s="89"/>
      <c r="H11" s="90"/>
      <c r="I11" s="76"/>
    </row>
    <row r="12" spans="1:9" ht="19.5" customHeight="1">
      <c r="A12" s="78" t="s">
        <v>32</v>
      </c>
      <c r="B12" s="91" t="s">
        <v>66</v>
      </c>
      <c r="C12" s="91"/>
      <c r="D12" s="91"/>
      <c r="F12" s="48">
        <v>85000</v>
      </c>
      <c r="G12" s="89"/>
      <c r="H12" s="90"/>
      <c r="I12" s="76"/>
    </row>
    <row r="13" spans="1:9" ht="19.5" customHeight="1">
      <c r="A13" s="78" t="s">
        <v>33</v>
      </c>
      <c r="B13" s="101" t="s">
        <v>70</v>
      </c>
      <c r="C13" s="101"/>
      <c r="D13" s="101"/>
      <c r="E13" s="101"/>
      <c r="F13" s="48">
        <v>75000</v>
      </c>
      <c r="G13" s="89"/>
      <c r="H13" s="90"/>
      <c r="I13" s="76"/>
    </row>
    <row r="14" spans="1:9" ht="20.25" customHeight="1">
      <c r="A14" s="78" t="s">
        <v>34</v>
      </c>
      <c r="B14" s="101" t="s">
        <v>74</v>
      </c>
      <c r="C14" s="101"/>
      <c r="D14" s="101"/>
      <c r="E14" s="101"/>
      <c r="F14" s="48">
        <v>90000</v>
      </c>
      <c r="G14" s="89"/>
      <c r="H14" s="90"/>
      <c r="I14" s="76"/>
    </row>
    <row r="15" spans="1:9" ht="19.5" customHeight="1">
      <c r="A15" s="78" t="s">
        <v>35</v>
      </c>
      <c r="B15" s="101" t="s">
        <v>67</v>
      </c>
      <c r="C15" s="101"/>
      <c r="D15" s="101"/>
      <c r="E15" s="101"/>
      <c r="F15" s="48">
        <v>135000</v>
      </c>
      <c r="G15" s="89"/>
      <c r="H15" s="90"/>
      <c r="I15" s="76"/>
    </row>
    <row r="16" spans="1:9" ht="41.25" customHeight="1">
      <c r="A16" s="78" t="s">
        <v>36</v>
      </c>
      <c r="B16" s="108" t="s">
        <v>68</v>
      </c>
      <c r="C16" s="108"/>
      <c r="D16" s="108"/>
      <c r="E16" s="108"/>
      <c r="F16" s="48">
        <v>25000</v>
      </c>
      <c r="G16" s="89"/>
      <c r="H16" s="90"/>
      <c r="I16" s="76"/>
    </row>
    <row r="17" spans="1:9" ht="19.5" customHeight="1">
      <c r="A17" s="78" t="s">
        <v>62</v>
      </c>
      <c r="B17" s="101" t="s">
        <v>75</v>
      </c>
      <c r="C17" s="101"/>
      <c r="D17" s="101"/>
      <c r="E17" s="101"/>
      <c r="F17" s="48">
        <v>15000</v>
      </c>
      <c r="G17" s="89"/>
      <c r="H17" s="90"/>
      <c r="I17" s="76"/>
    </row>
    <row r="18" spans="1:9" ht="19.5" customHeight="1">
      <c r="A18" s="88"/>
      <c r="B18" s="89"/>
      <c r="C18" s="89"/>
      <c r="D18" s="89"/>
      <c r="F18" s="40">
        <f>SUM(F12:F17)</f>
        <v>425000</v>
      </c>
      <c r="G18" s="89"/>
      <c r="H18" s="90"/>
      <c r="I18" s="76"/>
    </row>
    <row r="19" spans="1:9" ht="29.25" customHeight="1" thickBot="1">
      <c r="A19" s="86" t="s">
        <v>78</v>
      </c>
      <c r="B19" s="84"/>
      <c r="C19" s="84"/>
      <c r="D19" s="84"/>
      <c r="E19" s="84"/>
      <c r="F19" s="84"/>
      <c r="G19" s="84"/>
    </row>
    <row r="20" spans="1:9" ht="60" customHeight="1">
      <c r="A20" s="12"/>
      <c r="B20" s="4" t="s">
        <v>38</v>
      </c>
      <c r="C20" s="4" t="s">
        <v>39</v>
      </c>
      <c r="D20" s="4" t="s">
        <v>63</v>
      </c>
      <c r="E20" s="4" t="s">
        <v>40</v>
      </c>
      <c r="F20" s="4" t="s">
        <v>41</v>
      </c>
      <c r="G20" s="4" t="s">
        <v>42</v>
      </c>
      <c r="H20" s="4" t="s">
        <v>43</v>
      </c>
      <c r="I20" s="4" t="s">
        <v>3</v>
      </c>
    </row>
    <row r="21" spans="1:9" ht="20.100000000000001" customHeight="1">
      <c r="A21" s="78" t="s">
        <v>32</v>
      </c>
      <c r="B21" s="75">
        <f>0.1*I21</f>
        <v>8500</v>
      </c>
      <c r="C21" s="75">
        <f>0.45*I21</f>
        <v>38250</v>
      </c>
      <c r="D21" s="75">
        <f>0.3*I21</f>
        <v>25500</v>
      </c>
      <c r="E21" s="75">
        <f>0.15*I21</f>
        <v>12750</v>
      </c>
      <c r="F21" s="76"/>
      <c r="G21" s="76"/>
      <c r="H21" s="76"/>
      <c r="I21" s="48">
        <v>85000</v>
      </c>
    </row>
    <row r="22" spans="1:9" ht="20.100000000000001" customHeight="1">
      <c r="A22" s="78" t="s">
        <v>33</v>
      </c>
      <c r="B22" s="75">
        <f>I22*0.25/3*2</f>
        <v>12500</v>
      </c>
      <c r="C22" s="75">
        <f>I22*0.25/3</f>
        <v>6250</v>
      </c>
      <c r="D22" s="75">
        <f>I22*0.5</f>
        <v>37500</v>
      </c>
      <c r="E22" s="75">
        <f>0.25*I22</f>
        <v>18750</v>
      </c>
      <c r="F22" s="76"/>
      <c r="G22" s="76"/>
      <c r="H22" s="76"/>
      <c r="I22" s="48">
        <v>75000</v>
      </c>
    </row>
    <row r="23" spans="1:9" ht="20.100000000000001" customHeight="1">
      <c r="A23" s="78" t="s">
        <v>34</v>
      </c>
      <c r="B23" s="77"/>
      <c r="C23" s="77"/>
      <c r="D23" s="76"/>
      <c r="E23" s="75">
        <f>I23</f>
        <v>90000</v>
      </c>
      <c r="F23" s="76"/>
      <c r="G23" s="76"/>
      <c r="H23" s="76"/>
      <c r="I23" s="48">
        <v>90000</v>
      </c>
    </row>
    <row r="24" spans="1:9" ht="20.100000000000001" customHeight="1">
      <c r="A24" s="78" t="s">
        <v>35</v>
      </c>
      <c r="B24" s="76"/>
      <c r="C24" s="76"/>
      <c r="D24" s="75"/>
      <c r="E24" s="75"/>
      <c r="F24" s="75">
        <f>I24*0.7</f>
        <v>94500</v>
      </c>
      <c r="G24" s="75">
        <f>I24*0.3/6*5</f>
        <v>33750</v>
      </c>
      <c r="H24" s="75">
        <f>I24*0.3/6</f>
        <v>6750</v>
      </c>
      <c r="I24" s="48">
        <v>135000</v>
      </c>
    </row>
    <row r="25" spans="1:9" ht="20.100000000000001" customHeight="1">
      <c r="A25" s="78" t="s">
        <v>36</v>
      </c>
      <c r="B25" s="76"/>
      <c r="C25" s="76"/>
      <c r="D25" s="75"/>
      <c r="E25" s="75"/>
      <c r="F25" s="75">
        <f>I25*0.82</f>
        <v>20500</v>
      </c>
      <c r="G25" s="75"/>
      <c r="H25" s="75">
        <f>I25*0.18</f>
        <v>4500</v>
      </c>
      <c r="I25" s="48">
        <v>25000</v>
      </c>
    </row>
    <row r="26" spans="1:9" ht="20.100000000000001" customHeight="1">
      <c r="A26" s="78" t="s">
        <v>62</v>
      </c>
      <c r="B26" s="76"/>
      <c r="C26" s="76"/>
      <c r="D26" s="75"/>
      <c r="E26" s="75"/>
      <c r="F26" s="75">
        <f>I26</f>
        <v>15000</v>
      </c>
      <c r="G26" s="75"/>
      <c r="H26" s="75"/>
      <c r="I26" s="48">
        <v>15000</v>
      </c>
    </row>
    <row r="27" spans="1:9" ht="20.100000000000001" customHeight="1">
      <c r="A27" s="39" t="s">
        <v>3</v>
      </c>
      <c r="B27" s="40">
        <f>SUM(B21:B26)</f>
        <v>21000</v>
      </c>
      <c r="C27" s="40">
        <f t="shared" ref="C27:H27" si="0">SUM(C21:C26)</f>
        <v>44500</v>
      </c>
      <c r="D27" s="40">
        <f t="shared" si="0"/>
        <v>63000</v>
      </c>
      <c r="E27" s="40">
        <f t="shared" si="0"/>
        <v>121500</v>
      </c>
      <c r="F27" s="40">
        <f t="shared" si="0"/>
        <v>130000</v>
      </c>
      <c r="G27" s="40">
        <f t="shared" si="0"/>
        <v>33750</v>
      </c>
      <c r="H27" s="40">
        <f t="shared" si="0"/>
        <v>11250</v>
      </c>
      <c r="I27" s="40">
        <f>SUM(B27:H27)</f>
        <v>425000</v>
      </c>
    </row>
    <row r="28" spans="1:9">
      <c r="A28" s="45"/>
      <c r="B28" s="45"/>
      <c r="C28" s="45"/>
      <c r="D28" s="46"/>
      <c r="E28" s="46"/>
      <c r="F28" s="46"/>
      <c r="G28" s="46"/>
      <c r="H28" s="46"/>
      <c r="I28" s="46"/>
    </row>
    <row r="29" spans="1:9" ht="28.5" customHeight="1" thickBot="1">
      <c r="A29" s="86" t="s">
        <v>81</v>
      </c>
      <c r="B29" s="87"/>
      <c r="C29" s="87"/>
      <c r="D29" s="87"/>
    </row>
    <row r="30" spans="1:9" ht="30">
      <c r="A30" s="12"/>
      <c r="B30" s="5" t="s">
        <v>0</v>
      </c>
      <c r="C30" s="5" t="s">
        <v>1</v>
      </c>
      <c r="D30" s="5" t="s">
        <v>2</v>
      </c>
      <c r="E30" s="26" t="s">
        <v>3</v>
      </c>
    </row>
    <row r="31" spans="1:9" ht="20.100000000000001" customHeight="1">
      <c r="A31" s="57" t="s">
        <v>18</v>
      </c>
      <c r="B31" s="79">
        <v>25000</v>
      </c>
      <c r="C31" s="79">
        <v>6000</v>
      </c>
      <c r="D31" s="79">
        <v>1500</v>
      </c>
      <c r="E31" s="48">
        <f>SUM(B31:D31)</f>
        <v>32500</v>
      </c>
    </row>
    <row r="32" spans="1:9" ht="20.100000000000001" customHeight="1">
      <c r="A32" s="57" t="s">
        <v>20</v>
      </c>
      <c r="B32" s="79">
        <v>5000</v>
      </c>
      <c r="C32" s="79">
        <v>12000</v>
      </c>
      <c r="D32" s="79">
        <v>500</v>
      </c>
      <c r="E32" s="48">
        <f t="shared" ref="E32:E37" si="1">SUM(B32:D32)</f>
        <v>17500</v>
      </c>
    </row>
    <row r="33" spans="1:5" ht="20.100000000000001" customHeight="1">
      <c r="A33" s="57" t="s">
        <v>21</v>
      </c>
      <c r="B33" s="80">
        <v>6</v>
      </c>
      <c r="C33" s="80">
        <v>425</v>
      </c>
      <c r="D33" s="80">
        <v>100</v>
      </c>
      <c r="E33" s="48">
        <f t="shared" si="1"/>
        <v>531</v>
      </c>
    </row>
    <row r="34" spans="1:5" ht="20.100000000000001" customHeight="1">
      <c r="A34" s="57" t="s">
        <v>23</v>
      </c>
      <c r="B34" s="80">
        <v>162</v>
      </c>
      <c r="C34" s="80">
        <v>150</v>
      </c>
      <c r="D34" s="94" t="s">
        <v>71</v>
      </c>
      <c r="E34" s="48">
        <f t="shared" si="1"/>
        <v>312</v>
      </c>
    </row>
    <row r="35" spans="1:5" ht="20.100000000000001" customHeight="1">
      <c r="A35" s="57" t="s">
        <v>69</v>
      </c>
      <c r="B35" s="80">
        <v>10</v>
      </c>
      <c r="C35" s="80">
        <v>750</v>
      </c>
      <c r="D35" s="80">
        <v>75</v>
      </c>
      <c r="E35" s="48">
        <f t="shared" si="1"/>
        <v>835</v>
      </c>
    </row>
    <row r="36" spans="1:5" ht="20.100000000000001" customHeight="1">
      <c r="A36" s="57" t="s">
        <v>27</v>
      </c>
      <c r="B36" s="80">
        <v>27</v>
      </c>
      <c r="C36" s="80">
        <v>20</v>
      </c>
      <c r="D36" s="80">
        <v>100</v>
      </c>
      <c r="E36" s="48">
        <f t="shared" si="1"/>
        <v>147</v>
      </c>
    </row>
    <row r="37" spans="1:5" ht="20.100000000000001" customHeight="1">
      <c r="A37" s="58" t="s">
        <v>16</v>
      </c>
      <c r="B37" s="81">
        <v>2</v>
      </c>
      <c r="C37" s="81">
        <v>80</v>
      </c>
      <c r="D37" s="81">
        <v>12</v>
      </c>
      <c r="E37" s="54">
        <f t="shared" si="1"/>
        <v>94</v>
      </c>
    </row>
    <row r="39" spans="1:5" ht="33" customHeight="1" thickBot="1">
      <c r="A39" s="86" t="s">
        <v>92</v>
      </c>
      <c r="B39" s="87"/>
      <c r="C39" s="87"/>
      <c r="D39" s="87"/>
    </row>
    <row r="40" spans="1:5" ht="43.5" customHeight="1">
      <c r="A40" s="12"/>
      <c r="B40" s="26" t="s">
        <v>72</v>
      </c>
      <c r="C40" s="26" t="s">
        <v>57</v>
      </c>
      <c r="D40" s="26" t="s">
        <v>58</v>
      </c>
      <c r="E40" s="26" t="s">
        <v>59</v>
      </c>
    </row>
    <row r="41" spans="1:5" ht="24.95" customHeight="1">
      <c r="A41" s="57" t="s">
        <v>17</v>
      </c>
      <c r="B41" s="48">
        <f>B27</f>
        <v>21000</v>
      </c>
      <c r="C41" s="51" t="s">
        <v>18</v>
      </c>
      <c r="D41" s="48">
        <f t="shared" ref="D41:D43" si="2">E31</f>
        <v>32500</v>
      </c>
      <c r="E41" s="52">
        <f>B41/D41</f>
        <v>0.64615384615384619</v>
      </c>
    </row>
    <row r="42" spans="1:5" ht="24.95" customHeight="1">
      <c r="A42" s="57" t="s">
        <v>19</v>
      </c>
      <c r="B42" s="48">
        <f>C27</f>
        <v>44500</v>
      </c>
      <c r="C42" s="51" t="s">
        <v>20</v>
      </c>
      <c r="D42" s="48">
        <f t="shared" si="2"/>
        <v>17500</v>
      </c>
      <c r="E42" s="52">
        <f t="shared" ref="E42:E47" si="3">B42/D42</f>
        <v>2.5428571428571427</v>
      </c>
    </row>
    <row r="43" spans="1:5" ht="24.95" customHeight="1">
      <c r="A43" s="57" t="s">
        <v>64</v>
      </c>
      <c r="B43" s="48">
        <f>D27</f>
        <v>63000</v>
      </c>
      <c r="C43" s="51" t="s">
        <v>21</v>
      </c>
      <c r="D43" s="48">
        <f t="shared" si="2"/>
        <v>531</v>
      </c>
      <c r="E43" s="52">
        <f t="shared" si="3"/>
        <v>118.64406779661017</v>
      </c>
    </row>
    <row r="44" spans="1:5" ht="24.95" customHeight="1">
      <c r="A44" s="57" t="s">
        <v>22</v>
      </c>
      <c r="B44" s="48">
        <f>E27</f>
        <v>121500</v>
      </c>
      <c r="C44" s="51" t="s">
        <v>23</v>
      </c>
      <c r="D44" s="48">
        <f>B34+C34</f>
        <v>312</v>
      </c>
      <c r="E44" s="52">
        <f t="shared" si="3"/>
        <v>389.42307692307691</v>
      </c>
    </row>
    <row r="45" spans="1:5" ht="24.95" customHeight="1">
      <c r="A45" s="57" t="s">
        <v>24</v>
      </c>
      <c r="B45" s="48">
        <f>F27</f>
        <v>130000</v>
      </c>
      <c r="C45" s="51" t="s">
        <v>37</v>
      </c>
      <c r="D45" s="48">
        <f>E37</f>
        <v>94</v>
      </c>
      <c r="E45" s="53">
        <f t="shared" si="3"/>
        <v>1382.9787234042553</v>
      </c>
    </row>
    <row r="46" spans="1:5" ht="24.95" customHeight="1">
      <c r="A46" s="57" t="s">
        <v>28</v>
      </c>
      <c r="B46" s="48">
        <f>G27</f>
        <v>33750</v>
      </c>
      <c r="C46" s="51" t="s">
        <v>25</v>
      </c>
      <c r="D46" s="48">
        <f>E35</f>
        <v>835</v>
      </c>
      <c r="E46" s="52">
        <f t="shared" si="3"/>
        <v>40.419161676646709</v>
      </c>
    </row>
    <row r="47" spans="1:5" ht="24.95" customHeight="1">
      <c r="A47" s="58" t="s">
        <v>26</v>
      </c>
      <c r="B47" s="54">
        <f>H27</f>
        <v>11250</v>
      </c>
      <c r="C47" s="55" t="s">
        <v>27</v>
      </c>
      <c r="D47" s="54">
        <f>E36</f>
        <v>147</v>
      </c>
      <c r="E47" s="56">
        <f t="shared" si="3"/>
        <v>76.530612244897952</v>
      </c>
    </row>
    <row r="48" spans="1:5">
      <c r="B48" s="40">
        <f>SUM(B41:B47)</f>
        <v>425000</v>
      </c>
    </row>
    <row r="49" spans="1:5" ht="32.25" customHeight="1" thickBot="1">
      <c r="A49" s="86" t="s">
        <v>79</v>
      </c>
      <c r="B49" s="87"/>
      <c r="C49" s="87"/>
      <c r="D49" s="87"/>
    </row>
    <row r="50" spans="1:5" ht="30">
      <c r="A50" s="12"/>
      <c r="B50" s="5" t="s">
        <v>0</v>
      </c>
      <c r="C50" s="5" t="s">
        <v>1</v>
      </c>
      <c r="D50" s="5" t="s">
        <v>2</v>
      </c>
      <c r="E50" s="3" t="s">
        <v>3</v>
      </c>
    </row>
    <row r="51" spans="1:5" ht="24.95" customHeight="1">
      <c r="A51" s="57" t="s">
        <v>17</v>
      </c>
      <c r="B51" s="47">
        <f>B31*$E$41</f>
        <v>16153.846153846154</v>
      </c>
      <c r="C51" s="47">
        <f t="shared" ref="C51:D51" si="4">C31*$E$41</f>
        <v>3876.9230769230771</v>
      </c>
      <c r="D51" s="47">
        <f t="shared" si="4"/>
        <v>969.23076923076928</v>
      </c>
      <c r="E51" s="48">
        <f>SUM(B51:D51)</f>
        <v>21000</v>
      </c>
    </row>
    <row r="52" spans="1:5" ht="24.95" customHeight="1">
      <c r="A52" s="57" t="s">
        <v>19</v>
      </c>
      <c r="B52" s="47">
        <f>B32*$E$42</f>
        <v>12714.285714285714</v>
      </c>
      <c r="C52" s="47">
        <f t="shared" ref="C52:D52" si="5">C32*$E$42</f>
        <v>30514.285714285714</v>
      </c>
      <c r="D52" s="47">
        <f t="shared" si="5"/>
        <v>1271.4285714285713</v>
      </c>
      <c r="E52" s="48">
        <f t="shared" ref="E52:E58" si="6">SUM(B52:D52)</f>
        <v>44500</v>
      </c>
    </row>
    <row r="53" spans="1:5" ht="24.95" customHeight="1">
      <c r="A53" s="57" t="s">
        <v>64</v>
      </c>
      <c r="B53" s="47">
        <f>B33*$E$43</f>
        <v>711.86440677966107</v>
      </c>
      <c r="C53" s="47">
        <f t="shared" ref="C53:D53" si="7">C33*$E$43</f>
        <v>50423.728813559326</v>
      </c>
      <c r="D53" s="47">
        <f t="shared" si="7"/>
        <v>11864.406779661018</v>
      </c>
      <c r="E53" s="48">
        <f t="shared" si="6"/>
        <v>63000.000000000007</v>
      </c>
    </row>
    <row r="54" spans="1:5" ht="24.95" customHeight="1">
      <c r="A54" s="57" t="s">
        <v>22</v>
      </c>
      <c r="B54" s="49">
        <f>B34*$E$44</f>
        <v>63086.538461538461</v>
      </c>
      <c r="C54" s="49">
        <f t="shared" ref="C54" si="8">C34*$E$44</f>
        <v>58413.461538461539</v>
      </c>
      <c r="D54" s="49">
        <v>0</v>
      </c>
      <c r="E54" s="50">
        <f t="shared" si="6"/>
        <v>121500</v>
      </c>
    </row>
    <row r="55" spans="1:5" ht="24.95" customHeight="1">
      <c r="A55" s="57" t="s">
        <v>24</v>
      </c>
      <c r="B55" s="47">
        <f>B37*$E$45</f>
        <v>2765.9574468085107</v>
      </c>
      <c r="C55" s="47">
        <f t="shared" ref="C55:D55" si="9">C37*$E$45</f>
        <v>110638.29787234042</v>
      </c>
      <c r="D55" s="47">
        <f t="shared" si="9"/>
        <v>16595.744680851065</v>
      </c>
      <c r="E55" s="50">
        <f t="shared" si="6"/>
        <v>130000</v>
      </c>
    </row>
    <row r="56" spans="1:5" ht="24.95" customHeight="1">
      <c r="A56" s="57" t="s">
        <v>28</v>
      </c>
      <c r="B56" s="47">
        <f>B35*$E$46</f>
        <v>404.19161676646706</v>
      </c>
      <c r="C56" s="47">
        <f t="shared" ref="C56:D56" si="10">C35*$E$46</f>
        <v>30314.371257485032</v>
      </c>
      <c r="D56" s="47">
        <f t="shared" si="10"/>
        <v>3031.4371257485031</v>
      </c>
      <c r="E56" s="50">
        <f t="shared" si="6"/>
        <v>33750</v>
      </c>
    </row>
    <row r="57" spans="1:5" ht="24.95" customHeight="1" thickBot="1">
      <c r="A57" s="57" t="s">
        <v>26</v>
      </c>
      <c r="B57" s="47">
        <f>B36*$E$47</f>
        <v>2066.3265306122448</v>
      </c>
      <c r="C57" s="47">
        <f t="shared" ref="C57:D57" si="11">C36*$E$47</f>
        <v>1530.612244897959</v>
      </c>
      <c r="D57" s="47">
        <f t="shared" si="11"/>
        <v>7653.0612244897948</v>
      </c>
      <c r="E57" s="50">
        <f t="shared" si="6"/>
        <v>11249.999999999998</v>
      </c>
    </row>
    <row r="58" spans="1:5" ht="24.95" customHeight="1">
      <c r="A58" s="6" t="s">
        <v>3</v>
      </c>
      <c r="B58" s="39">
        <f>SUM(B51:B57)</f>
        <v>97903.010330637204</v>
      </c>
      <c r="C58" s="39">
        <f t="shared" ref="C58:D58" si="12">SUM(C51:C57)</f>
        <v>285711.68051795306</v>
      </c>
      <c r="D58" s="39">
        <f t="shared" si="12"/>
        <v>41385.309151409718</v>
      </c>
      <c r="E58" s="40">
        <f t="shared" si="6"/>
        <v>425000</v>
      </c>
    </row>
    <row r="60" spans="1:5" ht="33" customHeight="1" thickBot="1">
      <c r="A60" s="85" t="s">
        <v>80</v>
      </c>
      <c r="B60" s="87"/>
      <c r="C60" s="87"/>
      <c r="D60" s="87"/>
    </row>
    <row r="61" spans="1:5" ht="30">
      <c r="A61" s="12"/>
      <c r="B61" s="5" t="s">
        <v>0</v>
      </c>
      <c r="C61" s="5" t="s">
        <v>1</v>
      </c>
      <c r="D61" s="5" t="s">
        <v>2</v>
      </c>
      <c r="E61" s="3" t="s">
        <v>3</v>
      </c>
    </row>
    <row r="62" spans="1:5" ht="20.100000000000001" customHeight="1">
      <c r="A62" s="13" t="s">
        <v>4</v>
      </c>
      <c r="B62" s="14">
        <v>800000</v>
      </c>
      <c r="C62" s="14">
        <v>600000</v>
      </c>
      <c r="D62" s="14">
        <v>100000</v>
      </c>
      <c r="E62" s="14">
        <v>1500000</v>
      </c>
    </row>
    <row r="63" spans="1:5" ht="20.100000000000001" customHeight="1">
      <c r="A63" s="24" t="s">
        <v>5</v>
      </c>
      <c r="B63" s="14">
        <v>-663000</v>
      </c>
      <c r="C63" s="14">
        <v>-407000</v>
      </c>
      <c r="D63" s="14">
        <v>-50000</v>
      </c>
      <c r="E63" s="14">
        <f>SUM(B63:D63)</f>
        <v>-1120000</v>
      </c>
    </row>
    <row r="64" spans="1:5" ht="20.100000000000001" customHeight="1">
      <c r="A64" s="27" t="s">
        <v>9</v>
      </c>
      <c r="B64" s="28">
        <f>B62+B63</f>
        <v>137000</v>
      </c>
      <c r="C64" s="28">
        <f t="shared" ref="C64:D64" si="13">C62+C63</f>
        <v>193000</v>
      </c>
      <c r="D64" s="28">
        <f t="shared" si="13"/>
        <v>50000</v>
      </c>
      <c r="E64" s="28">
        <f>SUM(B64:D64)</f>
        <v>380000</v>
      </c>
    </row>
    <row r="65" spans="1:5" ht="20.100000000000001" customHeight="1">
      <c r="A65" s="41" t="s">
        <v>29</v>
      </c>
      <c r="B65" s="31">
        <f>-B58</f>
        <v>-97903.010330637204</v>
      </c>
      <c r="C65" s="31">
        <f>-C58</f>
        <v>-285711.68051795306</v>
      </c>
      <c r="D65" s="31">
        <f>-D58</f>
        <v>-41385.309151409718</v>
      </c>
      <c r="E65" s="14">
        <v>-425000</v>
      </c>
    </row>
    <row r="66" spans="1:5" ht="20.100000000000001" customHeight="1" thickBot="1">
      <c r="A66" s="27" t="s">
        <v>10</v>
      </c>
      <c r="B66" s="32">
        <f>B64+B65</f>
        <v>39096.989669362796</v>
      </c>
      <c r="C66" s="32">
        <f t="shared" ref="C66:E66" si="14">C64+C65</f>
        <v>-92711.680517953064</v>
      </c>
      <c r="D66" s="32">
        <f t="shared" si="14"/>
        <v>8614.6908485902823</v>
      </c>
      <c r="E66" s="28">
        <f t="shared" si="14"/>
        <v>-45000</v>
      </c>
    </row>
    <row r="67" spans="1:5" ht="20.100000000000001" customHeight="1">
      <c r="A67" s="61" t="s">
        <v>8</v>
      </c>
      <c r="B67" s="59">
        <f>B66/B62</f>
        <v>4.8871237086703496E-2</v>
      </c>
      <c r="C67" s="59">
        <f t="shared" ref="C67:E67" si="15">C66/C62</f>
        <v>-0.15451946752992177</v>
      </c>
      <c r="D67" s="59">
        <f t="shared" si="15"/>
        <v>8.6146908485902826E-2</v>
      </c>
      <c r="E67" s="60">
        <f t="shared" si="15"/>
        <v>-0.03</v>
      </c>
    </row>
  </sheetData>
  <mergeCells count="8">
    <mergeCell ref="B17:E17"/>
    <mergeCell ref="A1:G1"/>
    <mergeCell ref="H1:I1"/>
    <mergeCell ref="B13:E13"/>
    <mergeCell ref="B14:E14"/>
    <mergeCell ref="B11:E11"/>
    <mergeCell ref="B15:E15"/>
    <mergeCell ref="B16:E16"/>
  </mergeCells>
  <pageMargins left="0.15748031496062992" right="0.15748031496062992" top="0.42" bottom="0.18" header="0.15748031496062992" footer="0.15748031496062992"/>
  <pageSetup paperSize="9" scale="74" orientation="landscape" r:id="rId1"/>
  <headerFooter>
    <oddHeader>&amp;Rcaso NUTRIGIM (ABC)</oddHeader>
  </headerFooter>
  <rowBreaks count="2" manualBreakCount="2">
    <brk id="27" max="8" man="1"/>
    <brk id="59" max="16383" man="1"/>
  </rowBreaks>
  <ignoredErrors>
    <ignoredError sqref="B65:D65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2" zoomScaleNormal="100" workbookViewId="0">
      <selection activeCell="A42" sqref="A42"/>
    </sheetView>
  </sheetViews>
  <sheetFormatPr baseColWidth="10" defaultRowHeight="15"/>
  <cols>
    <col min="1" max="1" width="39.28515625" customWidth="1"/>
    <col min="2" max="2" width="14.85546875" customWidth="1"/>
    <col min="3" max="3" width="13.85546875" customWidth="1"/>
    <col min="4" max="4" width="12.28515625" customWidth="1"/>
  </cols>
  <sheetData>
    <row r="1" spans="1:5" ht="27" customHeight="1">
      <c r="A1" s="109" t="s">
        <v>53</v>
      </c>
      <c r="B1" s="109"/>
      <c r="C1" s="109"/>
      <c r="D1" s="109"/>
      <c r="E1" s="109"/>
    </row>
    <row r="2" spans="1:5" ht="31.5" customHeight="1" thickBot="1">
      <c r="A2" s="86" t="s">
        <v>60</v>
      </c>
      <c r="B2" s="86"/>
      <c r="C2" s="86"/>
      <c r="D2" s="86"/>
    </row>
    <row r="3" spans="1:5" ht="30">
      <c r="A3" s="26" t="s">
        <v>44</v>
      </c>
      <c r="B3" s="5" t="s">
        <v>0</v>
      </c>
      <c r="C3" s="5" t="s">
        <v>1</v>
      </c>
      <c r="D3" s="5" t="s">
        <v>2</v>
      </c>
      <c r="E3" s="26" t="s">
        <v>3</v>
      </c>
    </row>
    <row r="4" spans="1:5" ht="20.100000000000001" customHeight="1">
      <c r="A4" s="62" t="s">
        <v>4</v>
      </c>
      <c r="B4" s="63">
        <v>800000</v>
      </c>
      <c r="C4" s="63">
        <v>600000</v>
      </c>
      <c r="D4" s="63">
        <v>100000</v>
      </c>
      <c r="E4" s="63">
        <v>1500000</v>
      </c>
    </row>
    <row r="5" spans="1:5" ht="20.100000000000001" customHeight="1">
      <c r="A5" s="64" t="s">
        <v>5</v>
      </c>
      <c r="B5" s="63">
        <v>-663000</v>
      </c>
      <c r="C5" s="63">
        <v>-407000</v>
      </c>
      <c r="D5" s="63">
        <v>-50000</v>
      </c>
      <c r="E5" s="63">
        <f>SUM(B5:D5)</f>
        <v>-1120000</v>
      </c>
    </row>
    <row r="6" spans="1:5" ht="20.100000000000001" customHeight="1">
      <c r="A6" s="65" t="s">
        <v>9</v>
      </c>
      <c r="B6" s="63">
        <f>B4+B5</f>
        <v>137000</v>
      </c>
      <c r="C6" s="63">
        <f t="shared" ref="C6:D6" si="0">C4+C5</f>
        <v>193000</v>
      </c>
      <c r="D6" s="63">
        <f t="shared" si="0"/>
        <v>50000</v>
      </c>
      <c r="E6" s="63">
        <f>SUM(B6:D6)</f>
        <v>380000</v>
      </c>
    </row>
    <row r="7" spans="1:5" ht="20.100000000000001" customHeight="1">
      <c r="A7" s="62" t="s">
        <v>7</v>
      </c>
      <c r="B7" s="66">
        <v>-226666.66666666666</v>
      </c>
      <c r="C7" s="63">
        <v>-170000</v>
      </c>
      <c r="D7" s="66">
        <v>-28333.333333333332</v>
      </c>
      <c r="E7" s="63">
        <v>-425000</v>
      </c>
    </row>
    <row r="8" spans="1:5" ht="20.100000000000001" customHeight="1">
      <c r="A8" s="95" t="s">
        <v>89</v>
      </c>
      <c r="B8" s="96">
        <f>B7/$E$7</f>
        <v>0.53333333333333333</v>
      </c>
      <c r="C8" s="96">
        <f t="shared" ref="C8:D8" si="1">C7/$E$7</f>
        <v>0.4</v>
      </c>
      <c r="D8" s="96">
        <f t="shared" si="1"/>
        <v>6.6666666666666666E-2</v>
      </c>
      <c r="E8" s="97">
        <f>SUM(B8:D8)</f>
        <v>1</v>
      </c>
    </row>
    <row r="9" spans="1:5" ht="20.100000000000001" customHeight="1">
      <c r="A9" s="65" t="s">
        <v>30</v>
      </c>
      <c r="B9" s="66">
        <v>-89666.666666666657</v>
      </c>
      <c r="C9" s="63">
        <v>23000</v>
      </c>
      <c r="D9" s="66">
        <v>21666.666666666668</v>
      </c>
      <c r="E9" s="63">
        <v>-44999.999999999985</v>
      </c>
    </row>
    <row r="10" spans="1:5" ht="20.100000000000001" customHeight="1" thickBot="1">
      <c r="A10" s="67" t="s">
        <v>8</v>
      </c>
      <c r="B10" s="68">
        <v>-0.11208333333333333</v>
      </c>
      <c r="C10" s="68">
        <v>3.833333333333333E-2</v>
      </c>
      <c r="D10" s="68">
        <v>0.21666666666666667</v>
      </c>
      <c r="E10" s="71">
        <v>-2.9999999999999992E-2</v>
      </c>
    </row>
    <row r="11" spans="1:5">
      <c r="A11" s="69" t="s">
        <v>49</v>
      </c>
      <c r="B11" s="70">
        <f>(B9/'1.ST'!B7)</f>
        <v>-2.9888888888888885</v>
      </c>
      <c r="C11" s="70">
        <f>(C9/'1.ST'!C7)</f>
        <v>1.2777777777777777</v>
      </c>
      <c r="D11" s="70">
        <f>(D9/'1.ST'!D7)</f>
        <v>10.833333333333334</v>
      </c>
      <c r="E11" s="11"/>
    </row>
    <row r="12" spans="1:5">
      <c r="A12" s="72"/>
      <c r="B12" s="73"/>
      <c r="C12" s="73"/>
      <c r="D12" s="73"/>
      <c r="E12" s="11"/>
    </row>
    <row r="13" spans="1:5" ht="32.25" customHeight="1" thickBot="1">
      <c r="A13" s="83" t="s">
        <v>61</v>
      </c>
      <c r="B13" s="83"/>
      <c r="C13" s="83"/>
      <c r="D13" s="83"/>
    </row>
    <row r="14" spans="1:5" ht="30">
      <c r="A14" s="26" t="s">
        <v>45</v>
      </c>
      <c r="B14" s="8" t="s">
        <v>0</v>
      </c>
      <c r="C14" s="8" t="s">
        <v>1</v>
      </c>
      <c r="D14" s="8" t="s">
        <v>2</v>
      </c>
      <c r="E14" s="43" t="s">
        <v>3</v>
      </c>
    </row>
    <row r="15" spans="1:5" s="7" customFormat="1" ht="20.100000000000001" customHeight="1">
      <c r="A15" s="62" t="s">
        <v>4</v>
      </c>
      <c r="B15" s="63">
        <v>800000</v>
      </c>
      <c r="C15" s="63">
        <v>600000</v>
      </c>
      <c r="D15" s="63">
        <v>100000</v>
      </c>
      <c r="E15" s="63">
        <v>1500000</v>
      </c>
    </row>
    <row r="16" spans="1:5" ht="20.100000000000001" customHeight="1">
      <c r="A16" s="64" t="s">
        <v>5</v>
      </c>
      <c r="B16" s="63">
        <v>-663000</v>
      </c>
      <c r="C16" s="63">
        <v>-407000</v>
      </c>
      <c r="D16" s="63">
        <v>-50000</v>
      </c>
      <c r="E16" s="63">
        <f>SUM(B16:D16)</f>
        <v>-1120000</v>
      </c>
    </row>
    <row r="17" spans="1:5" ht="20.100000000000001" customHeight="1">
      <c r="A17" s="65" t="s">
        <v>9</v>
      </c>
      <c r="B17" s="63">
        <v>137000</v>
      </c>
      <c r="C17" s="63">
        <v>193000</v>
      </c>
      <c r="D17" s="63">
        <v>50000</v>
      </c>
      <c r="E17" s="63">
        <v>380000</v>
      </c>
    </row>
    <row r="18" spans="1:5" ht="20.100000000000001" customHeight="1">
      <c r="A18" s="65" t="s">
        <v>29</v>
      </c>
      <c r="B18" s="66">
        <f>'2.ABC'!B65</f>
        <v>-97903.010330637204</v>
      </c>
      <c r="C18" s="66">
        <f>'2.ABC'!C65</f>
        <v>-285711.68051795306</v>
      </c>
      <c r="D18" s="66">
        <f>'2.ABC'!D65</f>
        <v>-41385.309151409718</v>
      </c>
      <c r="E18" s="63">
        <f>SUM(B18:D18)</f>
        <v>-425000</v>
      </c>
    </row>
    <row r="19" spans="1:5" ht="20.100000000000001" customHeight="1">
      <c r="A19" s="95" t="s">
        <v>90</v>
      </c>
      <c r="B19" s="96">
        <f>B18/$E$18</f>
        <v>0.23036002430738164</v>
      </c>
      <c r="C19" s="96">
        <f t="shared" ref="C19:D19" si="2">C18/$E$18</f>
        <v>0.67226277768930132</v>
      </c>
      <c r="D19" s="96">
        <f t="shared" si="2"/>
        <v>9.7377198003316984E-2</v>
      </c>
      <c r="E19" s="97">
        <f>SUM(B19:D19)</f>
        <v>1</v>
      </c>
    </row>
    <row r="20" spans="1:5" ht="20.100000000000001" customHeight="1">
      <c r="A20" s="65" t="s">
        <v>31</v>
      </c>
      <c r="B20" s="66">
        <f>B17+B18</f>
        <v>39096.989669362796</v>
      </c>
      <c r="C20" s="66">
        <f t="shared" ref="C20:E20" si="3">C17+C18</f>
        <v>-92711.680517953064</v>
      </c>
      <c r="D20" s="66">
        <f t="shared" si="3"/>
        <v>8614.6908485902823</v>
      </c>
      <c r="E20" s="63">
        <f t="shared" si="3"/>
        <v>-45000</v>
      </c>
    </row>
    <row r="21" spans="1:5" ht="20.100000000000001" customHeight="1" thickBot="1">
      <c r="A21" s="67" t="s">
        <v>8</v>
      </c>
      <c r="B21" s="68">
        <f>B20/B15</f>
        <v>4.8871237086703496E-2</v>
      </c>
      <c r="C21" s="68">
        <f t="shared" ref="C21:D21" si="4">C20/C15</f>
        <v>-0.15451946752992177</v>
      </c>
      <c r="D21" s="68">
        <f t="shared" si="4"/>
        <v>8.6146908485902826E-2</v>
      </c>
      <c r="E21" s="71">
        <v>-0.03</v>
      </c>
    </row>
    <row r="22" spans="1:5">
      <c r="A22" s="69" t="s">
        <v>49</v>
      </c>
      <c r="B22" s="70">
        <f>B20/'1.ST'!B7</f>
        <v>1.3032329889787599</v>
      </c>
      <c r="C22" s="70">
        <f>C20/'1.ST'!C7</f>
        <v>-5.1506489176640589</v>
      </c>
      <c r="D22" s="70">
        <f>D20/'1.ST'!D7</f>
        <v>4.307345424295141</v>
      </c>
    </row>
    <row r="24" spans="1:5" ht="23.25" customHeight="1" thickBot="1">
      <c r="A24" s="86" t="s">
        <v>93</v>
      </c>
    </row>
    <row r="41" spans="1:1" ht="15.75" thickBot="1">
      <c r="A41" s="86" t="s">
        <v>94</v>
      </c>
    </row>
  </sheetData>
  <mergeCells count="1">
    <mergeCell ref="A1:E1"/>
  </mergeCells>
  <pageMargins left="0.23622047244094491" right="0.19685039370078741" top="0.35433070866141736" bottom="0.47244094488188981" header="0.31496062992125984" footer="0.31496062992125984"/>
  <pageSetup paperSize="9" scale="79" orientation="landscape" r:id="rId1"/>
  <headerFooter>
    <oddHeader>&amp;Rcaso NUTRIGIM (ABC)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1.ST</vt:lpstr>
      <vt:lpstr>2.ABC</vt:lpstr>
      <vt:lpstr>3.ST-ABC</vt:lpstr>
    </vt:vector>
  </TitlesOfParts>
  <Company>Universidad Loyola Andalucia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ptirado</dc:creator>
  <cp:lastModifiedBy>Ptirado</cp:lastModifiedBy>
  <cp:lastPrinted>2015-01-30T12:47:53Z</cp:lastPrinted>
  <dcterms:created xsi:type="dcterms:W3CDTF">2015-01-23T10:47:07Z</dcterms:created>
  <dcterms:modified xsi:type="dcterms:W3CDTF">2015-02-11T12:19:22Z</dcterms:modified>
</cp:coreProperties>
</file>