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 tabRatio="830" activeTab="1"/>
  </bookViews>
  <sheets>
    <sheet name="intro y tareas" sheetId="1" r:id="rId1"/>
    <sheet name="saldos 31.01.2015 y reparto ABC" sheetId="5" r:id="rId2"/>
    <sheet name="MP, envases y producción" sheetId="7" r:id="rId3"/>
    <sheet name="horas pers" sheetId="8" r:id="rId4"/>
    <sheet name="coste produc-ABC" sheetId="9" r:id="rId5"/>
    <sheet name="prod term" sheetId="10" r:id="rId6"/>
    <sheet name="rdo por cliente" sheetId="12" r:id="rId7"/>
  </sheets>
  <externalReferences>
    <externalReference r:id="rId8"/>
    <externalReference r:id="rId9"/>
  </externalReferences>
  <definedNames>
    <definedName name="SALDOPYG" localSheetId="4">'[1]saldos-ABC'!$B$4</definedName>
    <definedName name="SALDOPYG" localSheetId="3">'[1]saldos-ABC'!$B$4</definedName>
    <definedName name="SALDOPYG" localSheetId="2">'[2]saldos-ABC'!$B$4</definedName>
    <definedName name="SALDOPYG">'saldos 31.01.2015 y reparto ABC'!$B$4</definedName>
  </definedNames>
  <calcPr calcId="145621"/>
</workbook>
</file>

<file path=xl/calcChain.xml><?xml version="1.0" encoding="utf-8"?>
<calcChain xmlns="http://schemas.openxmlformats.org/spreadsheetml/2006/main">
  <c r="B9" i="8" l="1"/>
  <c r="B10" i="8"/>
  <c r="B11" i="8"/>
  <c r="B12" i="8"/>
  <c r="B13" i="8"/>
  <c r="B14" i="8"/>
  <c r="B15" i="8"/>
  <c r="B16" i="8"/>
  <c r="B17" i="8"/>
  <c r="B8" i="8"/>
  <c r="E75" i="5" l="1"/>
  <c r="B67" i="5"/>
  <c r="B108" i="5"/>
  <c r="B112" i="5" s="1"/>
  <c r="B107" i="5"/>
  <c r="B111" i="5" s="1"/>
  <c r="B106" i="5"/>
  <c r="B110" i="5" s="1"/>
  <c r="B105" i="5"/>
  <c r="B109" i="5" s="1"/>
  <c r="B104" i="5"/>
  <c r="B103" i="5"/>
  <c r="B102" i="5"/>
  <c r="B101" i="5"/>
  <c r="B100" i="5"/>
  <c r="B99" i="5"/>
  <c r="B98" i="5"/>
  <c r="B97" i="5"/>
  <c r="B96" i="5"/>
  <c r="B95" i="5"/>
  <c r="B35" i="5"/>
  <c r="B34" i="5"/>
  <c r="B33" i="5"/>
  <c r="B32" i="5"/>
  <c r="B31" i="5"/>
  <c r="B30" i="5"/>
  <c r="B29" i="5"/>
  <c r="B28" i="5"/>
  <c r="B27" i="5"/>
  <c r="B26" i="5"/>
  <c r="D79" i="5"/>
  <c r="E79" i="5" s="1"/>
  <c r="F79" i="5"/>
  <c r="J79" i="5"/>
  <c r="O79" i="5"/>
  <c r="D10" i="12"/>
  <c r="E10" i="12"/>
  <c r="F10" i="12"/>
  <c r="G10" i="12"/>
  <c r="H10" i="12"/>
  <c r="I10" i="12"/>
  <c r="J10" i="12"/>
  <c r="K10" i="12"/>
  <c r="L10" i="12"/>
  <c r="C10" i="12"/>
  <c r="D11" i="12"/>
  <c r="E11" i="12"/>
  <c r="F11" i="12"/>
  <c r="G11" i="12"/>
  <c r="H11" i="12"/>
  <c r="I11" i="12"/>
  <c r="J11" i="12"/>
  <c r="K11" i="12"/>
  <c r="L11" i="12"/>
  <c r="D12" i="12"/>
  <c r="E12" i="12"/>
  <c r="F12" i="12"/>
  <c r="G12" i="12"/>
  <c r="H12" i="12"/>
  <c r="I12" i="12"/>
  <c r="J12" i="12"/>
  <c r="K12" i="12"/>
  <c r="L12" i="12"/>
  <c r="C12" i="12"/>
  <c r="C107" i="5"/>
  <c r="D13" i="12"/>
  <c r="E13" i="12"/>
  <c r="F13" i="12"/>
  <c r="G13" i="12"/>
  <c r="H13" i="12"/>
  <c r="I13" i="12"/>
  <c r="J13" i="12"/>
  <c r="K13" i="12"/>
  <c r="L13" i="12"/>
  <c r="C13" i="12"/>
  <c r="C8" i="8"/>
  <c r="D5" i="8"/>
  <c r="D8" i="8"/>
  <c r="E8" i="8" s="1"/>
  <c r="C9" i="8"/>
  <c r="C10" i="8"/>
  <c r="D10" i="8" s="1"/>
  <c r="E10" i="8" s="1"/>
  <c r="C11" i="8"/>
  <c r="C12" i="8"/>
  <c r="D12" i="8" s="1"/>
  <c r="E12" i="8" s="1"/>
  <c r="C13" i="8"/>
  <c r="C14" i="8"/>
  <c r="D14" i="8" s="1"/>
  <c r="E14" i="8" s="1"/>
  <c r="C15" i="8"/>
  <c r="C16" i="8"/>
  <c r="D16" i="8"/>
  <c r="E16" i="8" s="1"/>
  <c r="C17" i="8"/>
  <c r="E115" i="5"/>
  <c r="E116" i="5"/>
  <c r="E117" i="5"/>
  <c r="E118" i="5"/>
  <c r="F115" i="5"/>
  <c r="F116" i="5"/>
  <c r="F117" i="5"/>
  <c r="F118" i="5"/>
  <c r="G115" i="5"/>
  <c r="G116" i="5"/>
  <c r="G117" i="5"/>
  <c r="G118" i="5"/>
  <c r="H115" i="5"/>
  <c r="H116" i="5"/>
  <c r="H117" i="5"/>
  <c r="H118" i="5"/>
  <c r="J116" i="5"/>
  <c r="J118" i="5"/>
  <c r="K115" i="5"/>
  <c r="K117" i="5"/>
  <c r="C2" i="12"/>
  <c r="A54" i="7"/>
  <c r="A48" i="7"/>
  <c r="A42" i="7"/>
  <c r="A36" i="7"/>
  <c r="K7" i="10"/>
  <c r="H7" i="10"/>
  <c r="J6" i="10"/>
  <c r="D26" i="12"/>
  <c r="C26" i="12" s="1"/>
  <c r="R115" i="5" s="1"/>
  <c r="E26" i="12"/>
  <c r="F26" i="12"/>
  <c r="G26" i="12"/>
  <c r="H26" i="12"/>
  <c r="I26" i="12"/>
  <c r="J26" i="12"/>
  <c r="K26" i="12"/>
  <c r="L26" i="12"/>
  <c r="C24" i="12"/>
  <c r="O115" i="5"/>
  <c r="C25" i="12"/>
  <c r="P115" i="5" s="1"/>
  <c r="D14" i="12"/>
  <c r="E14" i="12"/>
  <c r="F14" i="12"/>
  <c r="G14" i="12"/>
  <c r="H14" i="12"/>
  <c r="I14" i="12"/>
  <c r="J14" i="12"/>
  <c r="B26" i="12"/>
  <c r="B25" i="12"/>
  <c r="B24" i="12"/>
  <c r="B27" i="12"/>
  <c r="B29" i="12"/>
  <c r="B28" i="12"/>
  <c r="B8" i="10"/>
  <c r="C3" i="12"/>
  <c r="E8" i="10"/>
  <c r="C4" i="12"/>
  <c r="H8" i="10"/>
  <c r="C5" i="12"/>
  <c r="K8" i="10"/>
  <c r="K9" i="10"/>
  <c r="B3" i="12"/>
  <c r="B11" i="12"/>
  <c r="B16" i="12"/>
  <c r="B20" i="12"/>
  <c r="B4" i="12"/>
  <c r="B12" i="12"/>
  <c r="B17" i="12" s="1"/>
  <c r="B21" i="12" s="1"/>
  <c r="B5" i="12"/>
  <c r="B13" i="12" s="1"/>
  <c r="B18" i="12" s="1"/>
  <c r="B22" i="12" s="1"/>
  <c r="B2" i="12"/>
  <c r="B10" i="12"/>
  <c r="B15" i="12"/>
  <c r="B19" i="12"/>
  <c r="B6" i="12"/>
  <c r="B7" i="12"/>
  <c r="B8" i="12"/>
  <c r="D70" i="5"/>
  <c r="M70" i="5"/>
  <c r="D71" i="5"/>
  <c r="M71" i="5"/>
  <c r="D72" i="5"/>
  <c r="M72" i="5"/>
  <c r="D73" i="5"/>
  <c r="M73" i="5"/>
  <c r="D74" i="5"/>
  <c r="M74" i="5"/>
  <c r="D75" i="5"/>
  <c r="M75" i="5"/>
  <c r="D76" i="5"/>
  <c r="M76" i="5"/>
  <c r="D77" i="5"/>
  <c r="M77" i="5"/>
  <c r="D78" i="5"/>
  <c r="M78" i="5"/>
  <c r="M90" i="5"/>
  <c r="D91" i="5"/>
  <c r="F91" i="5" s="1"/>
  <c r="C23" i="5"/>
  <c r="C24" i="5"/>
  <c r="C93" i="5" s="1"/>
  <c r="D93" i="5" s="1"/>
  <c r="D94" i="5"/>
  <c r="C26" i="5"/>
  <c r="C95" i="5" s="1"/>
  <c r="D95" i="5" s="1"/>
  <c r="C27" i="5"/>
  <c r="C96" i="5"/>
  <c r="D96" i="5" s="1"/>
  <c r="C28" i="5"/>
  <c r="C97" i="5" s="1"/>
  <c r="D97" i="5" s="1"/>
  <c r="C29" i="5"/>
  <c r="C98" i="5"/>
  <c r="D98" i="5" s="1"/>
  <c r="C30" i="5"/>
  <c r="C99" i="5" s="1"/>
  <c r="D99" i="5" s="1"/>
  <c r="C31" i="5"/>
  <c r="C100" i="5"/>
  <c r="D100" i="5" s="1"/>
  <c r="C32" i="5"/>
  <c r="C101" i="5" s="1"/>
  <c r="D101" i="5" s="1"/>
  <c r="C33" i="5"/>
  <c r="C102" i="5"/>
  <c r="D102" i="5" s="1"/>
  <c r="C34" i="5"/>
  <c r="C103" i="5" s="1"/>
  <c r="D103" i="5" s="1"/>
  <c r="C104" i="5"/>
  <c r="D104" i="5"/>
  <c r="G104" i="5" s="1"/>
  <c r="M105" i="5"/>
  <c r="M106" i="5"/>
  <c r="M107" i="5"/>
  <c r="M108" i="5"/>
  <c r="M109" i="5"/>
  <c r="M110" i="5"/>
  <c r="M111" i="5"/>
  <c r="M112" i="5"/>
  <c r="D113" i="5"/>
  <c r="M113" i="5"/>
  <c r="T62" i="5"/>
  <c r="T63" i="5"/>
  <c r="E70" i="5"/>
  <c r="E72" i="5"/>
  <c r="E74" i="5"/>
  <c r="E76" i="5"/>
  <c r="E78" i="5"/>
  <c r="V8" i="8"/>
  <c r="V9" i="8"/>
  <c r="V10" i="8"/>
  <c r="V11" i="8"/>
  <c r="V12" i="8"/>
  <c r="V13" i="8"/>
  <c r="V14" i="8"/>
  <c r="V15" i="8"/>
  <c r="V16" i="8"/>
  <c r="V17" i="8"/>
  <c r="E90" i="5"/>
  <c r="E94" i="5"/>
  <c r="E104" i="5"/>
  <c r="E105" i="5"/>
  <c r="E106" i="5"/>
  <c r="E107" i="5"/>
  <c r="E108" i="5"/>
  <c r="E109" i="5"/>
  <c r="E110" i="5"/>
  <c r="E111" i="5"/>
  <c r="E112" i="5"/>
  <c r="E113" i="5"/>
  <c r="F71" i="5"/>
  <c r="F73" i="5"/>
  <c r="F75" i="5"/>
  <c r="F77" i="5"/>
  <c r="F90" i="5"/>
  <c r="F105" i="5"/>
  <c r="F106" i="5"/>
  <c r="F107" i="5"/>
  <c r="F108" i="5"/>
  <c r="F109" i="5"/>
  <c r="F110" i="5"/>
  <c r="F111" i="5"/>
  <c r="F112" i="5"/>
  <c r="F113" i="5"/>
  <c r="G71" i="5"/>
  <c r="G73" i="5"/>
  <c r="G75" i="5"/>
  <c r="G77" i="5"/>
  <c r="G90" i="5"/>
  <c r="G94" i="5"/>
  <c r="G105" i="5"/>
  <c r="G106" i="5"/>
  <c r="G107" i="5"/>
  <c r="G108" i="5"/>
  <c r="G109" i="5"/>
  <c r="G110" i="5"/>
  <c r="G111" i="5"/>
  <c r="G112" i="5"/>
  <c r="G113" i="5"/>
  <c r="H70" i="5"/>
  <c r="H72" i="5"/>
  <c r="H74" i="5"/>
  <c r="H76" i="5"/>
  <c r="H78" i="5"/>
  <c r="H90" i="5"/>
  <c r="H105" i="5"/>
  <c r="H106" i="5"/>
  <c r="H107" i="5"/>
  <c r="H108" i="5"/>
  <c r="H109" i="5"/>
  <c r="H110" i="5"/>
  <c r="H111" i="5"/>
  <c r="H112" i="5"/>
  <c r="H113" i="5"/>
  <c r="I70" i="5"/>
  <c r="I72" i="5"/>
  <c r="I74" i="5"/>
  <c r="I76" i="5"/>
  <c r="I78" i="5"/>
  <c r="I90" i="5"/>
  <c r="I94" i="5"/>
  <c r="I104" i="5"/>
  <c r="I105" i="5"/>
  <c r="I106" i="5"/>
  <c r="I107" i="5"/>
  <c r="I108" i="5"/>
  <c r="I109" i="5"/>
  <c r="I110" i="5"/>
  <c r="I111" i="5"/>
  <c r="I112" i="5"/>
  <c r="I113" i="5"/>
  <c r="J71" i="5"/>
  <c r="J73" i="5"/>
  <c r="J75" i="5"/>
  <c r="J77" i="5"/>
  <c r="J90" i="5"/>
  <c r="J105" i="5"/>
  <c r="J106" i="5"/>
  <c r="J107" i="5"/>
  <c r="J108" i="5"/>
  <c r="J109" i="5"/>
  <c r="J110" i="5"/>
  <c r="J111" i="5"/>
  <c r="J112" i="5"/>
  <c r="J113" i="5"/>
  <c r="K71" i="5"/>
  <c r="K73" i="5"/>
  <c r="K75" i="5"/>
  <c r="K77" i="5"/>
  <c r="K90" i="5"/>
  <c r="K94" i="5"/>
  <c r="K105" i="5"/>
  <c r="K106" i="5"/>
  <c r="K107" i="5"/>
  <c r="K108" i="5"/>
  <c r="K109" i="5"/>
  <c r="K110" i="5"/>
  <c r="K111" i="5"/>
  <c r="K112" i="5"/>
  <c r="K113" i="5"/>
  <c r="E7" i="10"/>
  <c r="A32" i="5"/>
  <c r="F7" i="9"/>
  <c r="E7" i="9"/>
  <c r="D7" i="9"/>
  <c r="B7" i="9"/>
  <c r="C7" i="9"/>
  <c r="E6" i="9"/>
  <c r="B4" i="9"/>
  <c r="L75" i="5"/>
  <c r="L71" i="5"/>
  <c r="L73" i="5"/>
  <c r="L76" i="5"/>
  <c r="L78" i="5"/>
  <c r="L90" i="5"/>
  <c r="L94" i="5"/>
  <c r="L105" i="5"/>
  <c r="L106" i="5"/>
  <c r="L107" i="5"/>
  <c r="L108" i="5"/>
  <c r="L109" i="5"/>
  <c r="L110" i="5"/>
  <c r="L111" i="5"/>
  <c r="L112" i="5"/>
  <c r="L113" i="5"/>
  <c r="N75" i="5"/>
  <c r="N71" i="5"/>
  <c r="N73" i="5"/>
  <c r="N76" i="5"/>
  <c r="N78" i="5"/>
  <c r="N90" i="5"/>
  <c r="N94" i="5"/>
  <c r="N105" i="5"/>
  <c r="N106" i="5"/>
  <c r="N107" i="5"/>
  <c r="N108" i="5"/>
  <c r="N109" i="5"/>
  <c r="N110" i="5"/>
  <c r="N111" i="5"/>
  <c r="N112" i="5"/>
  <c r="N113" i="5"/>
  <c r="O75" i="5"/>
  <c r="O71" i="5"/>
  <c r="O73" i="5"/>
  <c r="O76" i="5"/>
  <c r="O78" i="5"/>
  <c r="O90" i="5"/>
  <c r="O94" i="5"/>
  <c r="O105" i="5"/>
  <c r="O106" i="5"/>
  <c r="O107" i="5"/>
  <c r="O108" i="5"/>
  <c r="O109" i="5"/>
  <c r="O110" i="5"/>
  <c r="O111" i="5"/>
  <c r="O112" i="5"/>
  <c r="O113" i="5"/>
  <c r="P75" i="5"/>
  <c r="P71" i="5"/>
  <c r="P73" i="5"/>
  <c r="P76" i="5"/>
  <c r="P78" i="5"/>
  <c r="P90" i="5"/>
  <c r="P94" i="5"/>
  <c r="P105" i="5"/>
  <c r="P106" i="5"/>
  <c r="P107" i="5"/>
  <c r="P108" i="5"/>
  <c r="P109" i="5"/>
  <c r="P110" i="5"/>
  <c r="P111" i="5"/>
  <c r="P112" i="5"/>
  <c r="P113" i="5"/>
  <c r="Q75" i="5"/>
  <c r="Q71" i="5"/>
  <c r="Q73" i="5"/>
  <c r="Q76" i="5"/>
  <c r="Q78" i="5"/>
  <c r="Q90" i="5"/>
  <c r="Q94" i="5"/>
  <c r="Q105" i="5"/>
  <c r="Q106" i="5"/>
  <c r="Q107" i="5"/>
  <c r="Q108" i="5"/>
  <c r="Q109" i="5"/>
  <c r="Q110" i="5"/>
  <c r="Q111" i="5"/>
  <c r="Q112" i="5"/>
  <c r="Q113" i="5"/>
  <c r="R75" i="5"/>
  <c r="R71" i="5"/>
  <c r="R73" i="5"/>
  <c r="R76" i="5"/>
  <c r="R78" i="5"/>
  <c r="R90" i="5"/>
  <c r="R94" i="5"/>
  <c r="R105" i="5"/>
  <c r="R106" i="5"/>
  <c r="R107" i="5"/>
  <c r="R108" i="5"/>
  <c r="R109" i="5"/>
  <c r="R110" i="5"/>
  <c r="R111" i="5"/>
  <c r="R112" i="5"/>
  <c r="R113" i="5"/>
  <c r="D6" i="10"/>
  <c r="G6" i="10"/>
  <c r="M6" i="10"/>
  <c r="B7" i="10"/>
  <c r="AH66" i="5"/>
  <c r="AH67" i="5"/>
  <c r="AH68" i="5"/>
  <c r="AH69" i="5"/>
  <c r="B68" i="5"/>
  <c r="B69" i="5"/>
  <c r="B44" i="5"/>
  <c r="B66" i="5"/>
  <c r="AH63" i="5"/>
  <c r="AH65" i="5"/>
  <c r="AH70" i="5"/>
  <c r="AH71" i="5"/>
  <c r="AH72" i="5"/>
  <c r="AH73" i="5"/>
  <c r="AH74" i="5"/>
  <c r="AH75" i="5"/>
  <c r="AH76" i="5"/>
  <c r="AH77" i="5"/>
  <c r="AH78" i="5"/>
  <c r="AH90" i="5"/>
  <c r="AH91" i="5"/>
  <c r="AH92" i="5"/>
  <c r="AH93" i="5"/>
  <c r="AH94" i="5"/>
  <c r="AH95" i="5"/>
  <c r="AH96" i="5"/>
  <c r="AH97" i="5"/>
  <c r="AH98" i="5"/>
  <c r="AH99" i="5"/>
  <c r="AH100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55" i="5"/>
  <c r="AH57" i="5"/>
  <c r="AH58" i="5"/>
  <c r="AH59" i="5"/>
  <c r="AH60" i="5"/>
  <c r="AH61" i="5"/>
  <c r="AH62" i="5"/>
  <c r="AH54" i="5"/>
  <c r="B26" i="7"/>
  <c r="V3" i="5"/>
  <c r="U3" i="5"/>
  <c r="D24" i="7"/>
  <c r="C56" i="5"/>
  <c r="D56" i="5" s="1"/>
  <c r="E56" i="5" s="1"/>
  <c r="B63" i="5"/>
  <c r="B64" i="5"/>
  <c r="B65" i="5"/>
  <c r="B62" i="5"/>
  <c r="C25" i="5"/>
  <c r="D55" i="7"/>
  <c r="D49" i="7"/>
  <c r="D43" i="7"/>
  <c r="D37" i="7"/>
  <c r="D56" i="7"/>
  <c r="C61" i="5"/>
  <c r="D61" i="5" s="1"/>
  <c r="D50" i="7"/>
  <c r="C60" i="5"/>
  <c r="D60" i="5"/>
  <c r="D44" i="7"/>
  <c r="C59" i="5"/>
  <c r="D59" i="5" s="1"/>
  <c r="D38" i="7"/>
  <c r="C58" i="5"/>
  <c r="D58" i="5" s="1"/>
  <c r="E58" i="5" s="1"/>
  <c r="C58" i="7"/>
  <c r="B58" i="7"/>
  <c r="D58" i="7"/>
  <c r="C52" i="7"/>
  <c r="B52" i="7"/>
  <c r="D52" i="7"/>
  <c r="B46" i="7"/>
  <c r="C40" i="7"/>
  <c r="D40" i="7"/>
  <c r="C51" i="7"/>
  <c r="D51" i="7"/>
  <c r="C42" i="5"/>
  <c r="B40" i="7"/>
  <c r="C39" i="7"/>
  <c r="D39" i="7"/>
  <c r="C40" i="5"/>
  <c r="B45" i="5"/>
  <c r="B46" i="5"/>
  <c r="B47" i="5"/>
  <c r="B56" i="5"/>
  <c r="B57" i="5"/>
  <c r="B54" i="5"/>
  <c r="B55" i="5"/>
  <c r="P4" i="7"/>
  <c r="P5" i="7"/>
  <c r="P6" i="7"/>
  <c r="P3" i="7"/>
  <c r="P7" i="7"/>
  <c r="A1" i="12"/>
  <c r="K4" i="10"/>
  <c r="H4" i="10"/>
  <c r="E4" i="10"/>
  <c r="B4" i="10"/>
  <c r="C118" i="5"/>
  <c r="C117" i="5"/>
  <c r="C116" i="5"/>
  <c r="C121" i="5"/>
  <c r="C115" i="5"/>
  <c r="C123" i="5"/>
  <c r="C122" i="5"/>
  <c r="C120" i="5"/>
  <c r="F18" i="8"/>
  <c r="U5" i="5"/>
  <c r="V5" i="5"/>
  <c r="W5" i="5"/>
  <c r="X5" i="5"/>
  <c r="Y5" i="5"/>
  <c r="Z5" i="5"/>
  <c r="AA5" i="5"/>
  <c r="AB5" i="5"/>
  <c r="AC5" i="5"/>
  <c r="AD5" i="5"/>
  <c r="AE5" i="5"/>
  <c r="AF5" i="5"/>
  <c r="AG5" i="5"/>
  <c r="T5" i="5"/>
  <c r="AD4" i="5"/>
  <c r="AE4" i="5"/>
  <c r="AF4" i="5"/>
  <c r="AG4" i="5"/>
  <c r="AA4" i="5"/>
  <c r="AB4" i="5"/>
  <c r="AC4" i="5"/>
  <c r="Y4" i="5"/>
  <c r="Z4" i="5"/>
  <c r="U4" i="5"/>
  <c r="V4" i="5"/>
  <c r="W4" i="5"/>
  <c r="X4" i="5"/>
  <c r="T4" i="5"/>
  <c r="W3" i="5"/>
  <c r="X3" i="5"/>
  <c r="Y3" i="5"/>
  <c r="Z3" i="5"/>
  <c r="AA3" i="5"/>
  <c r="AB3" i="5"/>
  <c r="AC3" i="5"/>
  <c r="AD3" i="5"/>
  <c r="AE3" i="5"/>
  <c r="AF3" i="5"/>
  <c r="AG3" i="5"/>
  <c r="T3" i="5"/>
  <c r="S2" i="8"/>
  <c r="T2" i="8"/>
  <c r="U2" i="8"/>
  <c r="O2" i="8"/>
  <c r="P2" i="8"/>
  <c r="Q2" i="8"/>
  <c r="R2" i="8"/>
  <c r="N2" i="8"/>
  <c r="I2" i="8"/>
  <c r="J2" i="8"/>
  <c r="K2" i="8"/>
  <c r="L2" i="8"/>
  <c r="M2" i="8"/>
  <c r="H2" i="8"/>
  <c r="A8" i="8"/>
  <c r="A9" i="8"/>
  <c r="A10" i="8"/>
  <c r="A11" i="8"/>
  <c r="A12" i="8"/>
  <c r="A14" i="8"/>
  <c r="A15" i="8"/>
  <c r="A16" i="8"/>
  <c r="A17" i="8"/>
  <c r="A13" i="8"/>
  <c r="A35" i="5"/>
  <c r="D29" i="7"/>
  <c r="D30" i="7"/>
  <c r="C57" i="5"/>
  <c r="D57" i="5"/>
  <c r="P57" i="5" s="1"/>
  <c r="C32" i="7"/>
  <c r="D23" i="7"/>
  <c r="D17" i="7"/>
  <c r="D18" i="7"/>
  <c r="B32" i="7"/>
  <c r="D32" i="7"/>
  <c r="B20" i="7"/>
  <c r="B14" i="7"/>
  <c r="H6" i="7"/>
  <c r="D6" i="7"/>
  <c r="H5" i="7"/>
  <c r="D5" i="7"/>
  <c r="K6" i="7"/>
  <c r="K5" i="7"/>
  <c r="J3" i="7"/>
  <c r="G6" i="7"/>
  <c r="I118" i="5"/>
  <c r="G5" i="7"/>
  <c r="I117" i="5"/>
  <c r="C6" i="7"/>
  <c r="D6" i="9"/>
  <c r="C5" i="7"/>
  <c r="J5" i="7"/>
  <c r="A28" i="7"/>
  <c r="A22" i="7"/>
  <c r="A16" i="7"/>
  <c r="A10" i="7"/>
  <c r="D12" i="7"/>
  <c r="C54" i="5"/>
  <c r="D11" i="7"/>
  <c r="A34" i="5"/>
  <c r="A33" i="5"/>
  <c r="A31" i="5"/>
  <c r="A30" i="5"/>
  <c r="A29" i="5"/>
  <c r="A28" i="5"/>
  <c r="A27" i="5"/>
  <c r="A26" i="5"/>
  <c r="C9" i="12"/>
  <c r="C13" i="7"/>
  <c r="D13" i="7"/>
  <c r="C36" i="5"/>
  <c r="C19" i="7"/>
  <c r="D19" i="7"/>
  <c r="C37" i="5"/>
  <c r="K7" i="7"/>
  <c r="J6" i="7"/>
  <c r="G7" i="7"/>
  <c r="F4" i="7"/>
  <c r="C7" i="7"/>
  <c r="J7" i="7"/>
  <c r="E26" i="7"/>
  <c r="V18" i="8"/>
  <c r="A2" i="8"/>
  <c r="R79" i="5"/>
  <c r="P79" i="5"/>
  <c r="M79" i="5"/>
  <c r="K79" i="5"/>
  <c r="I79" i="5"/>
  <c r="G79" i="5"/>
  <c r="M57" i="5"/>
  <c r="O57" i="5"/>
  <c r="N57" i="5"/>
  <c r="C18" i="8"/>
  <c r="R77" i="5"/>
  <c r="R74" i="5"/>
  <c r="R72" i="5"/>
  <c r="R70" i="5"/>
  <c r="Q77" i="5"/>
  <c r="Q74" i="5"/>
  <c r="Q72" i="5"/>
  <c r="Q70" i="5"/>
  <c r="P77" i="5"/>
  <c r="P74" i="5"/>
  <c r="P72" i="5"/>
  <c r="P70" i="5"/>
  <c r="O77" i="5"/>
  <c r="O74" i="5"/>
  <c r="O72" i="5"/>
  <c r="O70" i="5"/>
  <c r="N77" i="5"/>
  <c r="N74" i="5"/>
  <c r="N72" i="5"/>
  <c r="N70" i="5"/>
  <c r="L77" i="5"/>
  <c r="L74" i="5"/>
  <c r="L72" i="5"/>
  <c r="L70" i="5"/>
  <c r="K78" i="5"/>
  <c r="K76" i="5"/>
  <c r="K74" i="5"/>
  <c r="K72" i="5"/>
  <c r="K70" i="5"/>
  <c r="J78" i="5"/>
  <c r="J76" i="5"/>
  <c r="J74" i="5"/>
  <c r="J72" i="5"/>
  <c r="J70" i="5"/>
  <c r="I77" i="5"/>
  <c r="I75" i="5"/>
  <c r="I73" i="5"/>
  <c r="I71" i="5"/>
  <c r="H77" i="5"/>
  <c r="H75" i="5"/>
  <c r="H73" i="5"/>
  <c r="H71" i="5"/>
  <c r="G78" i="5"/>
  <c r="G76" i="5"/>
  <c r="G74" i="5"/>
  <c r="G72" i="5"/>
  <c r="G70" i="5"/>
  <c r="F78" i="5"/>
  <c r="F76" i="5"/>
  <c r="F74" i="5"/>
  <c r="F72" i="5"/>
  <c r="F70" i="5"/>
  <c r="E77" i="5"/>
  <c r="E73" i="5"/>
  <c r="E71" i="5"/>
  <c r="D17" i="8"/>
  <c r="E17" i="8" s="1"/>
  <c r="D89" i="5" s="1"/>
  <c r="D15" i="8"/>
  <c r="E15" i="8" s="1"/>
  <c r="G15" i="8" s="1"/>
  <c r="D13" i="8"/>
  <c r="E13" i="8" s="1"/>
  <c r="D11" i="8"/>
  <c r="E11" i="8" s="1"/>
  <c r="G11" i="8" s="1"/>
  <c r="D9" i="8"/>
  <c r="M102" i="5"/>
  <c r="L102" i="5"/>
  <c r="Q102" i="5"/>
  <c r="I102" i="5"/>
  <c r="M100" i="5"/>
  <c r="H100" i="5"/>
  <c r="N100" i="5"/>
  <c r="R100" i="5"/>
  <c r="G100" i="5"/>
  <c r="K100" i="5"/>
  <c r="O100" i="5"/>
  <c r="M98" i="5"/>
  <c r="E98" i="5"/>
  <c r="L98" i="5"/>
  <c r="P98" i="5"/>
  <c r="M96" i="5"/>
  <c r="H96" i="5"/>
  <c r="N96" i="5"/>
  <c r="R96" i="5"/>
  <c r="G96" i="5"/>
  <c r="K96" i="5"/>
  <c r="O96" i="5"/>
  <c r="M103" i="5"/>
  <c r="G103" i="5"/>
  <c r="K103" i="5"/>
  <c r="O103" i="5"/>
  <c r="F103" i="5"/>
  <c r="J103" i="5"/>
  <c r="P103" i="5"/>
  <c r="G101" i="5"/>
  <c r="O101" i="5"/>
  <c r="J101" i="5"/>
  <c r="M99" i="5"/>
  <c r="G99" i="5"/>
  <c r="K99" i="5"/>
  <c r="N99" i="5"/>
  <c r="P99" i="5"/>
  <c r="R99" i="5"/>
  <c r="H99" i="5"/>
  <c r="G97" i="5"/>
  <c r="N97" i="5"/>
  <c r="R97" i="5"/>
  <c r="M95" i="5"/>
  <c r="G95" i="5"/>
  <c r="K95" i="5"/>
  <c r="N95" i="5"/>
  <c r="O95" i="5"/>
  <c r="P95" i="5"/>
  <c r="Q95" i="5"/>
  <c r="R95" i="5"/>
  <c r="F95" i="5"/>
  <c r="H95" i="5"/>
  <c r="J95" i="5"/>
  <c r="D54" i="5"/>
  <c r="C55" i="5"/>
  <c r="D55" i="5" s="1"/>
  <c r="G55" i="5" s="1"/>
  <c r="C20" i="7"/>
  <c r="D20" i="7"/>
  <c r="C65" i="5"/>
  <c r="D65" i="5" s="1"/>
  <c r="C31" i="7"/>
  <c r="D31" i="7"/>
  <c r="C39" i="5"/>
  <c r="C67" i="5"/>
  <c r="D67" i="5" s="1"/>
  <c r="C45" i="7"/>
  <c r="D45" i="7"/>
  <c r="C41" i="5"/>
  <c r="C69" i="5"/>
  <c r="D69" i="5" s="1"/>
  <c r="C57" i="7"/>
  <c r="D57" i="7"/>
  <c r="C43" i="5"/>
  <c r="F104" i="5"/>
  <c r="H104" i="5"/>
  <c r="J104" i="5"/>
  <c r="L104" i="5"/>
  <c r="N104" i="5"/>
  <c r="O104" i="5"/>
  <c r="P104" i="5"/>
  <c r="Q104" i="5"/>
  <c r="R104" i="5"/>
  <c r="M93" i="5"/>
  <c r="E93" i="5"/>
  <c r="G93" i="5"/>
  <c r="I93" i="5"/>
  <c r="K93" i="5"/>
  <c r="L93" i="5"/>
  <c r="N93" i="5"/>
  <c r="O93" i="5"/>
  <c r="P93" i="5"/>
  <c r="Q93" i="5"/>
  <c r="R93" i="5"/>
  <c r="M91" i="5"/>
  <c r="E91" i="5"/>
  <c r="G91" i="5"/>
  <c r="I91" i="5"/>
  <c r="K91" i="5"/>
  <c r="L91" i="5"/>
  <c r="N91" i="5"/>
  <c r="O91" i="5"/>
  <c r="P91" i="5"/>
  <c r="Q91" i="5"/>
  <c r="R91" i="5"/>
  <c r="H9" i="10"/>
  <c r="B4" i="7"/>
  <c r="C14" i="7"/>
  <c r="D14" i="7"/>
  <c r="C64" i="5"/>
  <c r="D64" i="5" s="1"/>
  <c r="E64" i="5" s="1"/>
  <c r="C26" i="7"/>
  <c r="D26" i="7"/>
  <c r="C46" i="7"/>
  <c r="D46" i="7"/>
  <c r="C25" i="7"/>
  <c r="D25" i="7"/>
  <c r="C38" i="5"/>
  <c r="F26" i="7"/>
  <c r="C6" i="9"/>
  <c r="J93" i="5"/>
  <c r="H93" i="5"/>
  <c r="F93" i="5"/>
  <c r="U88" i="5"/>
  <c r="T88" i="5"/>
  <c r="AH88" i="5" s="1"/>
  <c r="V88" i="5"/>
  <c r="X88" i="5"/>
  <c r="W88" i="5"/>
  <c r="Y88" i="5"/>
  <c r="Z88" i="5"/>
  <c r="AG88" i="5"/>
  <c r="AD88" i="5"/>
  <c r="AE88" i="5"/>
  <c r="AA88" i="5"/>
  <c r="AB88" i="5"/>
  <c r="AC88" i="5"/>
  <c r="AF88" i="5"/>
  <c r="U86" i="5"/>
  <c r="T86" i="5"/>
  <c r="V86" i="5"/>
  <c r="X86" i="5"/>
  <c r="W86" i="5"/>
  <c r="Y86" i="5"/>
  <c r="Z86" i="5"/>
  <c r="AG86" i="5"/>
  <c r="AD86" i="5"/>
  <c r="AE86" i="5"/>
  <c r="AA86" i="5"/>
  <c r="AB86" i="5"/>
  <c r="AC86" i="5"/>
  <c r="AF86" i="5"/>
  <c r="U84" i="5"/>
  <c r="T84" i="5"/>
  <c r="AH84" i="5" s="1"/>
  <c r="V84" i="5"/>
  <c r="X84" i="5"/>
  <c r="W84" i="5"/>
  <c r="Y84" i="5"/>
  <c r="Z84" i="5"/>
  <c r="AG84" i="5"/>
  <c r="AD84" i="5"/>
  <c r="AE84" i="5"/>
  <c r="AA84" i="5"/>
  <c r="AB84" i="5"/>
  <c r="AC84" i="5"/>
  <c r="AF84" i="5"/>
  <c r="U82" i="5"/>
  <c r="T82" i="5"/>
  <c r="V82" i="5"/>
  <c r="X82" i="5"/>
  <c r="W82" i="5"/>
  <c r="Y82" i="5"/>
  <c r="Z82" i="5"/>
  <c r="AG82" i="5"/>
  <c r="AD82" i="5"/>
  <c r="AE82" i="5"/>
  <c r="AA82" i="5"/>
  <c r="AB82" i="5"/>
  <c r="AC82" i="5"/>
  <c r="AF82" i="5"/>
  <c r="U80" i="5"/>
  <c r="T80" i="5"/>
  <c r="V80" i="5"/>
  <c r="X80" i="5"/>
  <c r="W80" i="5"/>
  <c r="Y80" i="5"/>
  <c r="Z80" i="5"/>
  <c r="AG80" i="5"/>
  <c r="AD80" i="5"/>
  <c r="AE80" i="5"/>
  <c r="AA80" i="5"/>
  <c r="AB80" i="5"/>
  <c r="AC80" i="5"/>
  <c r="AF80" i="5"/>
  <c r="M104" i="5"/>
  <c r="M94" i="5"/>
  <c r="F94" i="5"/>
  <c r="H94" i="5"/>
  <c r="J94" i="5"/>
  <c r="C92" i="5"/>
  <c r="D92" i="5" s="1"/>
  <c r="E9" i="10"/>
  <c r="Q61" i="5"/>
  <c r="N59" i="5"/>
  <c r="M61" i="5"/>
  <c r="L59" i="5"/>
  <c r="C62" i="5"/>
  <c r="D62" i="5"/>
  <c r="G62" i="5" s="1"/>
  <c r="C63" i="5"/>
  <c r="D63" i="5"/>
  <c r="F63" i="5" s="1"/>
  <c r="F57" i="5"/>
  <c r="E57" i="5"/>
  <c r="G57" i="5"/>
  <c r="H57" i="5"/>
  <c r="J57" i="5"/>
  <c r="I57" i="5"/>
  <c r="K57" i="5"/>
  <c r="R57" i="5"/>
  <c r="G58" i="5"/>
  <c r="I58" i="5"/>
  <c r="J58" i="5"/>
  <c r="R58" i="5"/>
  <c r="P58" i="5"/>
  <c r="E60" i="5"/>
  <c r="G60" i="5"/>
  <c r="F60" i="5"/>
  <c r="I60" i="5"/>
  <c r="H60" i="5"/>
  <c r="J60" i="5"/>
  <c r="K60" i="5"/>
  <c r="R60" i="5"/>
  <c r="O60" i="5"/>
  <c r="P60" i="5"/>
  <c r="C66" i="5"/>
  <c r="D66" i="5"/>
  <c r="F66" i="5" s="1"/>
  <c r="C68" i="5"/>
  <c r="D68" i="5"/>
  <c r="E68" i="5" s="1"/>
  <c r="I56" i="5"/>
  <c r="J56" i="5"/>
  <c r="R56" i="5"/>
  <c r="P56" i="5"/>
  <c r="F6" i="9"/>
  <c r="U89" i="5"/>
  <c r="T89" i="5"/>
  <c r="V89" i="5"/>
  <c r="X89" i="5"/>
  <c r="W89" i="5"/>
  <c r="Y89" i="5"/>
  <c r="Z89" i="5"/>
  <c r="AG89" i="5"/>
  <c r="AD89" i="5"/>
  <c r="AE89" i="5"/>
  <c r="U87" i="5"/>
  <c r="AH87" i="5" s="1"/>
  <c r="T87" i="5"/>
  <c r="V87" i="5"/>
  <c r="X87" i="5"/>
  <c r="W87" i="5"/>
  <c r="Y87" i="5"/>
  <c r="Z87" i="5"/>
  <c r="AG87" i="5"/>
  <c r="AD87" i="5"/>
  <c r="AE87" i="5"/>
  <c r="U85" i="5"/>
  <c r="T85" i="5"/>
  <c r="V85" i="5"/>
  <c r="X85" i="5"/>
  <c r="W85" i="5"/>
  <c r="Y85" i="5"/>
  <c r="Z85" i="5"/>
  <c r="AG85" i="5"/>
  <c r="AD85" i="5"/>
  <c r="AE85" i="5"/>
  <c r="U83" i="5"/>
  <c r="T83" i="5"/>
  <c r="V83" i="5"/>
  <c r="X83" i="5"/>
  <c r="W83" i="5"/>
  <c r="Y83" i="5"/>
  <c r="Z83" i="5"/>
  <c r="AG83" i="5"/>
  <c r="AD83" i="5"/>
  <c r="AE83" i="5"/>
  <c r="U81" i="5"/>
  <c r="T81" i="5"/>
  <c r="V81" i="5"/>
  <c r="X81" i="5"/>
  <c r="W81" i="5"/>
  <c r="Y81" i="5"/>
  <c r="Z81" i="5"/>
  <c r="AG81" i="5"/>
  <c r="AD81" i="5"/>
  <c r="AE81" i="5"/>
  <c r="B9" i="10"/>
  <c r="AF89" i="5"/>
  <c r="AF87" i="5"/>
  <c r="AF85" i="5"/>
  <c r="AF83" i="5"/>
  <c r="AF81" i="5"/>
  <c r="Q60" i="5"/>
  <c r="Q56" i="5"/>
  <c r="AC89" i="5"/>
  <c r="AC87" i="5"/>
  <c r="AC85" i="5"/>
  <c r="AC83" i="5"/>
  <c r="AC81" i="5"/>
  <c r="N60" i="5"/>
  <c r="N56" i="5"/>
  <c r="AB89" i="5"/>
  <c r="AB87" i="5"/>
  <c r="AB85" i="5"/>
  <c r="AB83" i="5"/>
  <c r="AB81" i="5"/>
  <c r="M60" i="5"/>
  <c r="M56" i="5"/>
  <c r="AA89" i="5"/>
  <c r="AA87" i="5"/>
  <c r="AA85" i="5"/>
  <c r="AA83" i="5"/>
  <c r="AA81" i="5"/>
  <c r="L60" i="5"/>
  <c r="L56" i="5"/>
  <c r="E9" i="8"/>
  <c r="G9" i="8" s="1"/>
  <c r="D85" i="5"/>
  <c r="M85" i="5" s="1"/>
  <c r="G13" i="8"/>
  <c r="O85" i="5"/>
  <c r="D83" i="5"/>
  <c r="J83" i="5" s="1"/>
  <c r="D87" i="5"/>
  <c r="J87" i="5" s="1"/>
  <c r="AH83" i="5"/>
  <c r="E66" i="5"/>
  <c r="H66" i="5"/>
  <c r="O66" i="5"/>
  <c r="N66" i="5"/>
  <c r="F62" i="5"/>
  <c r="K62" i="5"/>
  <c r="L62" i="5"/>
  <c r="AH80" i="5"/>
  <c r="AH86" i="5"/>
  <c r="I64" i="5"/>
  <c r="R64" i="5"/>
  <c r="M64" i="5"/>
  <c r="E69" i="5"/>
  <c r="F69" i="5"/>
  <c r="H69" i="5"/>
  <c r="J69" i="5"/>
  <c r="G69" i="5"/>
  <c r="I69" i="5"/>
  <c r="K69" i="5"/>
  <c r="R69" i="5"/>
  <c r="O69" i="5"/>
  <c r="M69" i="5"/>
  <c r="Q69" i="5"/>
  <c r="P69" i="5"/>
  <c r="L69" i="5"/>
  <c r="N69" i="5"/>
  <c r="E67" i="5"/>
  <c r="F67" i="5"/>
  <c r="H67" i="5"/>
  <c r="J67" i="5"/>
  <c r="G67" i="5"/>
  <c r="I67" i="5"/>
  <c r="K67" i="5"/>
  <c r="R67" i="5"/>
  <c r="O67" i="5"/>
  <c r="P67" i="5"/>
  <c r="L67" i="5"/>
  <c r="N67" i="5"/>
  <c r="M67" i="5"/>
  <c r="Q67" i="5"/>
  <c r="E65" i="5"/>
  <c r="F65" i="5"/>
  <c r="H65" i="5"/>
  <c r="J65" i="5"/>
  <c r="G65" i="5"/>
  <c r="I65" i="5"/>
  <c r="K65" i="5"/>
  <c r="R65" i="5"/>
  <c r="O65" i="5"/>
  <c r="P65" i="5"/>
  <c r="M65" i="5"/>
  <c r="Q65" i="5"/>
  <c r="L65" i="5"/>
  <c r="N65" i="5"/>
  <c r="E55" i="5"/>
  <c r="I55" i="5"/>
  <c r="P55" i="5"/>
  <c r="Q55" i="5"/>
  <c r="E54" i="5"/>
  <c r="F54" i="5"/>
  <c r="G54" i="5"/>
  <c r="I54" i="5"/>
  <c r="H54" i="5"/>
  <c r="J54" i="5"/>
  <c r="K54" i="5"/>
  <c r="R54" i="5"/>
  <c r="O54" i="5"/>
  <c r="P54" i="5"/>
  <c r="L54" i="5"/>
  <c r="M54" i="5"/>
  <c r="N54" i="5"/>
  <c r="Q54" i="5"/>
  <c r="I68" i="5"/>
  <c r="R68" i="5"/>
  <c r="M68" i="5"/>
  <c r="E63" i="5"/>
  <c r="I63" i="5"/>
  <c r="P63" i="5"/>
  <c r="Q63" i="5"/>
  <c r="B6" i="9"/>
  <c r="G26" i="7"/>
  <c r="E27" i="7"/>
  <c r="E85" i="5"/>
  <c r="H87" i="5"/>
  <c r="G83" i="5"/>
  <c r="M87" i="5"/>
  <c r="I85" i="5"/>
  <c r="D81" i="5"/>
  <c r="L81" i="5" s="1"/>
  <c r="P85" i="5"/>
  <c r="U56" i="5"/>
  <c r="U64" i="5"/>
  <c r="F27" i="7"/>
  <c r="E81" i="5"/>
  <c r="N81" i="5"/>
  <c r="M81" i="5"/>
  <c r="V64" i="5"/>
  <c r="V56" i="5"/>
  <c r="G56" i="5" s="1"/>
  <c r="G27" i="7"/>
  <c r="F56" i="5"/>
  <c r="AH64" i="5"/>
  <c r="C108" i="5"/>
  <c r="K14" i="12"/>
  <c r="C8" i="12"/>
  <c r="C11" i="12"/>
  <c r="C106" i="5"/>
  <c r="C7" i="12"/>
  <c r="C105" i="5"/>
  <c r="C6" i="12"/>
  <c r="L14" i="12"/>
  <c r="C14" i="12"/>
  <c r="F92" i="5" l="1"/>
  <c r="J92" i="5"/>
  <c r="O92" i="5"/>
  <c r="E92" i="5"/>
  <c r="I92" i="5"/>
  <c r="N92" i="5"/>
  <c r="R92" i="5"/>
  <c r="M92" i="5"/>
  <c r="H92" i="5"/>
  <c r="L92" i="5"/>
  <c r="Q92" i="5"/>
  <c r="G92" i="5"/>
  <c r="K92" i="5"/>
  <c r="P92" i="5"/>
  <c r="AH81" i="5"/>
  <c r="AH85" i="5"/>
  <c r="AH89" i="5"/>
  <c r="AH82" i="5"/>
  <c r="F102" i="5"/>
  <c r="J102" i="5"/>
  <c r="N102" i="5"/>
  <c r="P102" i="5"/>
  <c r="R102" i="5"/>
  <c r="G102" i="5"/>
  <c r="K102" i="5"/>
  <c r="E101" i="5"/>
  <c r="I101" i="5"/>
  <c r="L101" i="5"/>
  <c r="Q101" i="5"/>
  <c r="H101" i="5"/>
  <c r="N101" i="5"/>
  <c r="P101" i="5"/>
  <c r="F98" i="5"/>
  <c r="J98" i="5"/>
  <c r="G98" i="5"/>
  <c r="K98" i="5"/>
  <c r="O98" i="5"/>
  <c r="N98" i="5"/>
  <c r="R98" i="5"/>
  <c r="E97" i="5"/>
  <c r="I97" i="5"/>
  <c r="L97" i="5"/>
  <c r="O97" i="5"/>
  <c r="Q97" i="5"/>
  <c r="F97" i="5"/>
  <c r="J97" i="5"/>
  <c r="F64" i="5"/>
  <c r="AH56" i="5"/>
  <c r="G64" i="5"/>
  <c r="G81" i="5"/>
  <c r="H81" i="5"/>
  <c r="F81" i="5"/>
  <c r="E18" i="8"/>
  <c r="I83" i="5"/>
  <c r="I87" i="5"/>
  <c r="Q87" i="5"/>
  <c r="G85" i="5"/>
  <c r="F83" i="5"/>
  <c r="N63" i="5"/>
  <c r="R63" i="5"/>
  <c r="J63" i="5"/>
  <c r="Q68" i="5"/>
  <c r="P68" i="5"/>
  <c r="J68" i="5"/>
  <c r="F68" i="5"/>
  <c r="N55" i="5"/>
  <c r="R55" i="5"/>
  <c r="H55" i="5"/>
  <c r="Q64" i="5"/>
  <c r="P64" i="5"/>
  <c r="J64" i="5"/>
  <c r="N62" i="5"/>
  <c r="O62" i="5"/>
  <c r="H62" i="5"/>
  <c r="E62" i="5"/>
  <c r="L66" i="5"/>
  <c r="K66" i="5"/>
  <c r="G66" i="5"/>
  <c r="F85" i="5"/>
  <c r="L58" i="5"/>
  <c r="M58" i="5"/>
  <c r="N58" i="5"/>
  <c r="Q58" i="5"/>
  <c r="O58" i="5"/>
  <c r="K58" i="5"/>
  <c r="H58" i="5"/>
  <c r="F58" i="5"/>
  <c r="H97" i="5"/>
  <c r="P97" i="5"/>
  <c r="K97" i="5"/>
  <c r="M97" i="5"/>
  <c r="R101" i="5"/>
  <c r="F101" i="5"/>
  <c r="K101" i="5"/>
  <c r="M101" i="5"/>
  <c r="Q98" i="5"/>
  <c r="I98" i="5"/>
  <c r="H98" i="5"/>
  <c r="E102" i="5"/>
  <c r="O102" i="5"/>
  <c r="H102" i="5"/>
  <c r="E103" i="5"/>
  <c r="I103" i="5"/>
  <c r="L103" i="5"/>
  <c r="Q103" i="5"/>
  <c r="H103" i="5"/>
  <c r="N103" i="5"/>
  <c r="R103" i="5"/>
  <c r="F100" i="5"/>
  <c r="J100" i="5"/>
  <c r="P100" i="5"/>
  <c r="E100" i="5"/>
  <c r="I100" i="5"/>
  <c r="L100" i="5"/>
  <c r="Q100" i="5"/>
  <c r="E99" i="5"/>
  <c r="I99" i="5"/>
  <c r="L99" i="5"/>
  <c r="O99" i="5"/>
  <c r="Q99" i="5"/>
  <c r="F99" i="5"/>
  <c r="J99" i="5"/>
  <c r="F96" i="5"/>
  <c r="J96" i="5"/>
  <c r="P96" i="5"/>
  <c r="E96" i="5"/>
  <c r="I96" i="5"/>
  <c r="L96" i="5"/>
  <c r="Q96" i="5"/>
  <c r="E95" i="5"/>
  <c r="I95" i="5"/>
  <c r="L95" i="5"/>
  <c r="L57" i="5"/>
  <c r="Q57" i="5"/>
  <c r="K104" i="5"/>
  <c r="J91" i="5"/>
  <c r="H91" i="5"/>
  <c r="Q79" i="5"/>
  <c r="L79" i="5"/>
  <c r="H79" i="5"/>
  <c r="B9" i="12"/>
  <c r="O89" i="5"/>
  <c r="F89" i="5"/>
  <c r="E89" i="5"/>
  <c r="G89" i="5"/>
  <c r="R89" i="5"/>
  <c r="J89" i="5"/>
  <c r="L89" i="5"/>
  <c r="H89" i="5"/>
  <c r="K89" i="5"/>
  <c r="I89" i="5"/>
  <c r="Q89" i="5"/>
  <c r="M89" i="5"/>
  <c r="P89" i="5"/>
  <c r="N89" i="5"/>
  <c r="G87" i="5"/>
  <c r="O83" i="5"/>
  <c r="N83" i="5"/>
  <c r="L83" i="5"/>
  <c r="P87" i="5"/>
  <c r="P83" i="5"/>
  <c r="E59" i="5"/>
  <c r="J59" i="5"/>
  <c r="I59" i="5"/>
  <c r="R59" i="5"/>
  <c r="P59" i="5"/>
  <c r="F59" i="5"/>
  <c r="H59" i="5"/>
  <c r="G59" i="5"/>
  <c r="K59" i="5"/>
  <c r="O59" i="5"/>
  <c r="Q59" i="5"/>
  <c r="M59" i="5"/>
  <c r="D88" i="5"/>
  <c r="G16" i="8"/>
  <c r="G10" i="8"/>
  <c r="D82" i="5"/>
  <c r="D80" i="5"/>
  <c r="G8" i="8"/>
  <c r="K81" i="5"/>
  <c r="I81" i="5"/>
  <c r="R81" i="5"/>
  <c r="Q81" i="5"/>
  <c r="O81" i="5"/>
  <c r="J81" i="5"/>
  <c r="P81" i="5"/>
  <c r="Q85" i="5"/>
  <c r="J85" i="5"/>
  <c r="L85" i="5"/>
  <c r="N85" i="5"/>
  <c r="R83" i="5"/>
  <c r="R85" i="5"/>
  <c r="R87" i="5"/>
  <c r="L87" i="5"/>
  <c r="N87" i="5"/>
  <c r="K83" i="5"/>
  <c r="K85" i="5"/>
  <c r="O87" i="5"/>
  <c r="F87" i="5"/>
  <c r="E83" i="5"/>
  <c r="M63" i="5"/>
  <c r="L63" i="5"/>
  <c r="O63" i="5"/>
  <c r="K63" i="5"/>
  <c r="G63" i="5"/>
  <c r="H63" i="5"/>
  <c r="N68" i="5"/>
  <c r="L68" i="5"/>
  <c r="O68" i="5"/>
  <c r="K68" i="5"/>
  <c r="H68" i="5"/>
  <c r="G68" i="5"/>
  <c r="M55" i="5"/>
  <c r="L55" i="5"/>
  <c r="O55" i="5"/>
  <c r="K55" i="5"/>
  <c r="J55" i="5"/>
  <c r="F55" i="5"/>
  <c r="N64" i="5"/>
  <c r="L64" i="5"/>
  <c r="O64" i="5"/>
  <c r="K64" i="5"/>
  <c r="H64" i="5"/>
  <c r="Q62" i="5"/>
  <c r="M62" i="5"/>
  <c r="P62" i="5"/>
  <c r="R62" i="5"/>
  <c r="J62" i="5"/>
  <c r="I62" i="5"/>
  <c r="Q66" i="5"/>
  <c r="M66" i="5"/>
  <c r="P66" i="5"/>
  <c r="R66" i="5"/>
  <c r="J66" i="5"/>
  <c r="I66" i="5"/>
  <c r="E87" i="5"/>
  <c r="K87" i="5"/>
  <c r="H85" i="5"/>
  <c r="H83" i="5"/>
  <c r="Q83" i="5"/>
  <c r="M83" i="5"/>
  <c r="G17" i="8"/>
  <c r="D18" i="8"/>
  <c r="O56" i="5"/>
  <c r="K56" i="5"/>
  <c r="H56" i="5"/>
  <c r="E61" i="5"/>
  <c r="H61" i="5"/>
  <c r="I61" i="5"/>
  <c r="R61" i="5"/>
  <c r="P61" i="5"/>
  <c r="N61" i="5"/>
  <c r="L61" i="5"/>
  <c r="F61" i="5"/>
  <c r="G61" i="5"/>
  <c r="J61" i="5"/>
  <c r="K61" i="5"/>
  <c r="O61" i="5"/>
  <c r="D86" i="5"/>
  <c r="G14" i="8"/>
  <c r="D84" i="5"/>
  <c r="G12" i="8"/>
  <c r="F86" i="5" l="1"/>
  <c r="G86" i="5"/>
  <c r="I86" i="5"/>
  <c r="H86" i="5"/>
  <c r="J86" i="5"/>
  <c r="K86" i="5"/>
  <c r="R86" i="5"/>
  <c r="O86" i="5"/>
  <c r="P86" i="5"/>
  <c r="L86" i="5"/>
  <c r="M86" i="5"/>
  <c r="N86" i="5"/>
  <c r="Q86" i="5"/>
  <c r="E86" i="5"/>
  <c r="G82" i="5"/>
  <c r="I82" i="5"/>
  <c r="H82" i="5"/>
  <c r="J82" i="5"/>
  <c r="K82" i="5"/>
  <c r="R82" i="5"/>
  <c r="O82" i="5"/>
  <c r="P82" i="5"/>
  <c r="L82" i="5"/>
  <c r="M82" i="5"/>
  <c r="N82" i="5"/>
  <c r="Q82" i="5"/>
  <c r="E82" i="5"/>
  <c r="E114" i="5" s="1"/>
  <c r="F82" i="5"/>
  <c r="G80" i="5"/>
  <c r="I80" i="5"/>
  <c r="H80" i="5"/>
  <c r="J80" i="5"/>
  <c r="K80" i="5"/>
  <c r="R80" i="5"/>
  <c r="O80" i="5"/>
  <c r="P80" i="5"/>
  <c r="L80" i="5"/>
  <c r="M80" i="5"/>
  <c r="N80" i="5"/>
  <c r="Q80" i="5"/>
  <c r="F80" i="5"/>
  <c r="E80" i="5"/>
  <c r="G88" i="5"/>
  <c r="I88" i="5"/>
  <c r="H88" i="5"/>
  <c r="J88" i="5"/>
  <c r="K88" i="5"/>
  <c r="R88" i="5"/>
  <c r="O88" i="5"/>
  <c r="P88" i="5"/>
  <c r="L88" i="5"/>
  <c r="M88" i="5"/>
  <c r="N88" i="5"/>
  <c r="Q88" i="5"/>
  <c r="F88" i="5"/>
  <c r="E88" i="5"/>
  <c r="F84" i="5"/>
  <c r="E84" i="5"/>
  <c r="G84" i="5"/>
  <c r="I84" i="5"/>
  <c r="H84" i="5"/>
  <c r="J84" i="5"/>
  <c r="K84" i="5"/>
  <c r="R84" i="5"/>
  <c r="O84" i="5"/>
  <c r="P84" i="5"/>
  <c r="L84" i="5"/>
  <c r="M84" i="5"/>
  <c r="N84" i="5"/>
  <c r="Q84" i="5"/>
  <c r="F114" i="5" l="1"/>
  <c r="F119" i="5" s="1"/>
  <c r="N114" i="5"/>
  <c r="N126" i="5" s="1"/>
  <c r="K114" i="5"/>
  <c r="K119" i="5" s="1"/>
  <c r="K122" i="5" s="1"/>
  <c r="H114" i="5"/>
  <c r="H119" i="5" s="1"/>
  <c r="Q114" i="5"/>
  <c r="Q126" i="5" s="1"/>
  <c r="P114" i="5"/>
  <c r="P119" i="5" s="1"/>
  <c r="R114" i="5"/>
  <c r="I114" i="5"/>
  <c r="I119" i="5" s="1"/>
  <c r="I121" i="5" s="1"/>
  <c r="J114" i="5"/>
  <c r="J119" i="5" s="1"/>
  <c r="F121" i="5"/>
  <c r="F123" i="5"/>
  <c r="F120" i="5"/>
  <c r="F122" i="5"/>
  <c r="K120" i="5"/>
  <c r="K121" i="5"/>
  <c r="H120" i="5"/>
  <c r="H122" i="5"/>
  <c r="H121" i="5"/>
  <c r="H123" i="5"/>
  <c r="E119" i="5"/>
  <c r="P125" i="5"/>
  <c r="R125" i="5"/>
  <c r="R119" i="5"/>
  <c r="I120" i="5"/>
  <c r="I122" i="5"/>
  <c r="J120" i="5"/>
  <c r="J122" i="5"/>
  <c r="J123" i="5"/>
  <c r="J121" i="5"/>
  <c r="L114" i="5"/>
  <c r="L126" i="5" s="1"/>
  <c r="O114" i="5"/>
  <c r="G114" i="5"/>
  <c r="G119" i="5" s="1"/>
  <c r="M114" i="5"/>
  <c r="M126" i="5" s="1"/>
  <c r="T126" i="5" l="1"/>
  <c r="C32" i="12" s="1"/>
  <c r="I123" i="5"/>
  <c r="K123" i="5"/>
  <c r="A1" i="5"/>
  <c r="G123" i="5"/>
  <c r="G120" i="5"/>
  <c r="G121" i="5"/>
  <c r="G122" i="5"/>
  <c r="G28" i="12"/>
  <c r="L28" i="12"/>
  <c r="I28" i="12"/>
  <c r="K28" i="12"/>
  <c r="F28" i="12"/>
  <c r="J28" i="12"/>
  <c r="H28" i="12"/>
  <c r="E28" i="12"/>
  <c r="D28" i="12"/>
  <c r="C28" i="12" s="1"/>
  <c r="E121" i="5"/>
  <c r="E122" i="5"/>
  <c r="T122" i="5" s="1"/>
  <c r="E2" i="9" s="1"/>
  <c r="E3" i="9" s="1"/>
  <c r="E5" i="9" s="1"/>
  <c r="E123" i="5"/>
  <c r="E120" i="5"/>
  <c r="T120" i="5" s="1"/>
  <c r="C2" i="9" s="1"/>
  <c r="O119" i="5"/>
  <c r="O125" i="5"/>
  <c r="G29" i="12"/>
  <c r="D29" i="12"/>
  <c r="E29" i="12"/>
  <c r="H29" i="12"/>
  <c r="L29" i="12"/>
  <c r="K29" i="12"/>
  <c r="F29" i="12"/>
  <c r="I29" i="12"/>
  <c r="J29" i="12"/>
  <c r="T125" i="5"/>
  <c r="T127" i="5" s="1"/>
  <c r="C29" i="12" l="1"/>
  <c r="C3" i="9"/>
  <c r="C5" i="9" s="1"/>
  <c r="E8" i="9"/>
  <c r="E9" i="9"/>
  <c r="I7" i="10" s="1"/>
  <c r="J7" i="10" s="1"/>
  <c r="I8" i="10" s="1"/>
  <c r="F17" i="12" s="1"/>
  <c r="F21" i="12" s="1"/>
  <c r="D27" i="12"/>
  <c r="E27" i="12"/>
  <c r="L27" i="12"/>
  <c r="H27" i="12"/>
  <c r="I27" i="12"/>
  <c r="G27" i="12"/>
  <c r="K27" i="12"/>
  <c r="F27" i="12"/>
  <c r="J27" i="12"/>
  <c r="T123" i="5"/>
  <c r="F2" i="9" s="1"/>
  <c r="F3" i="9" s="1"/>
  <c r="F5" i="9" s="1"/>
  <c r="T121" i="5"/>
  <c r="D2" i="9" s="1"/>
  <c r="D3" i="9" s="1"/>
  <c r="D5" i="9" s="1"/>
  <c r="I9" i="10"/>
  <c r="J9" i="10" s="1"/>
  <c r="H17" i="12"/>
  <c r="H21" i="12" s="1"/>
  <c r="E17" i="12"/>
  <c r="E21" i="12" s="1"/>
  <c r="L17" i="12"/>
  <c r="L21" i="12" s="1"/>
  <c r="K17" i="12"/>
  <c r="K21" i="12" s="1"/>
  <c r="J8" i="10"/>
  <c r="J12" i="10" l="1"/>
  <c r="F8" i="9"/>
  <c r="F9" i="9"/>
  <c r="L7" i="10" s="1"/>
  <c r="M7" i="10" s="1"/>
  <c r="L8" i="10" s="1"/>
  <c r="C27" i="12"/>
  <c r="B2" i="9"/>
  <c r="B3" i="9" s="1"/>
  <c r="D17" i="12"/>
  <c r="D21" i="12" s="1"/>
  <c r="G17" i="12"/>
  <c r="G21" i="12" s="1"/>
  <c r="I17" i="12"/>
  <c r="I21" i="12" s="1"/>
  <c r="J17" i="12"/>
  <c r="J21" i="12" s="1"/>
  <c r="D9" i="9"/>
  <c r="F7" i="10" s="1"/>
  <c r="G7" i="10" s="1"/>
  <c r="F8" i="10" s="1"/>
  <c r="D8" i="9"/>
  <c r="C9" i="9"/>
  <c r="C7" i="10" s="1"/>
  <c r="D7" i="10" s="1"/>
  <c r="C8" i="10" s="1"/>
  <c r="C9" i="10" s="1"/>
  <c r="D9" i="10" s="1"/>
  <c r="C8" i="9"/>
  <c r="B5" i="9"/>
  <c r="C46" i="5"/>
  <c r="J10" i="10"/>
  <c r="C111" i="5" s="1"/>
  <c r="F15" i="12"/>
  <c r="F19" i="12" s="1"/>
  <c r="I15" i="12"/>
  <c r="I19" i="12" s="1"/>
  <c r="G15" i="12"/>
  <c r="G19" i="12" s="1"/>
  <c r="H15" i="12"/>
  <c r="H19" i="12" s="1"/>
  <c r="L15" i="12"/>
  <c r="L19" i="12" s="1"/>
  <c r="C17" i="12" l="1"/>
  <c r="C21" i="12"/>
  <c r="F16" i="12"/>
  <c r="F20" i="12" s="1"/>
  <c r="J16" i="12"/>
  <c r="J20" i="12" s="1"/>
  <c r="K16" i="12"/>
  <c r="K20" i="12" s="1"/>
  <c r="I16" i="12"/>
  <c r="I20" i="12" s="1"/>
  <c r="G8" i="10"/>
  <c r="F9" i="10"/>
  <c r="G9" i="10" s="1"/>
  <c r="H16" i="12"/>
  <c r="H20" i="12" s="1"/>
  <c r="G16" i="12"/>
  <c r="G20" i="12" s="1"/>
  <c r="L16" i="12"/>
  <c r="L20" i="12" s="1"/>
  <c r="E16" i="12"/>
  <c r="E20" i="12" s="1"/>
  <c r="D16" i="12"/>
  <c r="D8" i="10"/>
  <c r="D12" i="10" s="1"/>
  <c r="E15" i="12"/>
  <c r="E19" i="12" s="1"/>
  <c r="D15" i="12"/>
  <c r="K15" i="12"/>
  <c r="K19" i="12" s="1"/>
  <c r="J15" i="12"/>
  <c r="J19" i="12" s="1"/>
  <c r="G12" i="10"/>
  <c r="L9" i="10"/>
  <c r="M9" i="10" s="1"/>
  <c r="H18" i="12"/>
  <c r="H22" i="12" s="1"/>
  <c r="G18" i="12"/>
  <c r="G22" i="12" s="1"/>
  <c r="L18" i="12"/>
  <c r="L22" i="12" s="1"/>
  <c r="I18" i="12"/>
  <c r="I22" i="12" s="1"/>
  <c r="I23" i="12" s="1"/>
  <c r="I30" i="12" s="1"/>
  <c r="I31" i="12" s="1"/>
  <c r="D18" i="12"/>
  <c r="F18" i="12"/>
  <c r="F22" i="12" s="1"/>
  <c r="J18" i="12"/>
  <c r="J22" i="12" s="1"/>
  <c r="K18" i="12"/>
  <c r="K22" i="12" s="1"/>
  <c r="E18" i="12"/>
  <c r="E22" i="12" s="1"/>
  <c r="M8" i="10"/>
  <c r="M12" i="10" s="1"/>
  <c r="H23" i="12"/>
  <c r="H30" i="12" s="1"/>
  <c r="H31" i="12" s="1"/>
  <c r="D19" i="12"/>
  <c r="D10" i="10"/>
  <c r="C109" i="5" s="1"/>
  <c r="C44" i="5"/>
  <c r="C15" i="12" l="1"/>
  <c r="L23" i="12"/>
  <c r="L30" i="12" s="1"/>
  <c r="L31" i="12" s="1"/>
  <c r="F23" i="12"/>
  <c r="F30" i="12" s="1"/>
  <c r="F31" i="12" s="1"/>
  <c r="G23" i="12"/>
  <c r="G30" i="12" s="1"/>
  <c r="G31" i="12" s="1"/>
  <c r="C47" i="5"/>
  <c r="M10" i="10"/>
  <c r="C112" i="5" s="1"/>
  <c r="J23" i="12"/>
  <c r="J30" i="12" s="1"/>
  <c r="J31" i="12" s="1"/>
  <c r="G10" i="10"/>
  <c r="C110" i="5" s="1"/>
  <c r="B4" i="5" s="1"/>
  <c r="C45" i="5"/>
  <c r="C114" i="5" s="1"/>
  <c r="C18" i="12"/>
  <c r="D22" i="12"/>
  <c r="C22" i="12" s="1"/>
  <c r="K23" i="12"/>
  <c r="K30" i="12" s="1"/>
  <c r="K31" i="12" s="1"/>
  <c r="E23" i="12"/>
  <c r="E30" i="12" s="1"/>
  <c r="E31" i="12" s="1"/>
  <c r="D20" i="12"/>
  <c r="C20" i="12" s="1"/>
  <c r="C16" i="12"/>
  <c r="C19" i="12"/>
  <c r="D23" i="12" l="1"/>
  <c r="D30" i="12" s="1"/>
  <c r="C4" i="5"/>
  <c r="C23" i="12"/>
  <c r="D31" i="12" l="1"/>
  <c r="C30" i="12"/>
  <c r="C33" i="12" l="1"/>
  <c r="C31" i="12"/>
  <c r="C34" i="12" l="1"/>
  <c r="C1" i="5"/>
  <c r="A2" i="5" s="1"/>
</calcChain>
</file>

<file path=xl/comments1.xml><?xml version="1.0" encoding="utf-8"?>
<comments xmlns="http://schemas.openxmlformats.org/spreadsheetml/2006/main">
  <authors>
    <author>F</author>
  </authors>
  <commentList>
    <comment ref="A1" authorId="0">
      <text>
        <r>
          <rPr>
            <b/>
            <sz val="16"/>
            <color indexed="81"/>
            <rFont val="Tahoma"/>
            <family val="2"/>
          </rPr>
          <t xml:space="preserve">¿ESTÁN TODOS LOS COSTES INDIRECTOS DE LAS SUBCUENTAS REPARTIDOS ENTRE LAS ACTIVIDADES?
</t>
        </r>
        <r>
          <rPr>
            <b/>
            <sz val="16"/>
            <color indexed="11"/>
            <rFont val="Tahoma"/>
            <family val="2"/>
          </rPr>
          <t>:)  SÍ</t>
        </r>
        <r>
          <rPr>
            <b/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10"/>
            <rFont val="Tahoma"/>
            <family val="2"/>
          </rPr>
          <t>:(  NO</t>
        </r>
      </text>
    </comment>
    <comment ref="C1" authorId="0">
      <text>
        <r>
          <rPr>
            <b/>
            <sz val="11"/>
            <color indexed="81"/>
            <rFont val="Tahoma"/>
            <family val="2"/>
          </rPr>
          <t xml:space="preserve">¿SALDO CUENTA PyG CF=RESULTADO POR CLIENTE?
</t>
        </r>
        <r>
          <rPr>
            <b/>
            <sz val="11"/>
            <color indexed="11"/>
            <rFont val="Tahoma"/>
            <family val="2"/>
          </rPr>
          <t>:)  SÍ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10"/>
            <rFont val="Tahoma"/>
            <family val="2"/>
          </rPr>
          <t>:(  NO</t>
        </r>
      </text>
    </comment>
    <comment ref="C4" authorId="0">
      <text>
        <r>
          <rPr>
            <b/>
            <sz val="11"/>
            <color indexed="81"/>
            <rFont val="Tahoma"/>
            <family val="2"/>
          </rPr>
          <t xml:space="preserve">¿EL BALANCE DE SALDOS ESTÁ CUADRADO?
</t>
        </r>
        <r>
          <rPr>
            <b/>
            <sz val="11"/>
            <color indexed="11"/>
            <rFont val="Tahoma"/>
            <family val="2"/>
          </rPr>
          <t>:)  SÍ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10"/>
            <rFont val="Tahoma"/>
            <family val="2"/>
          </rPr>
          <t>:(  NO</t>
        </r>
      </text>
    </comment>
  </commentList>
</comments>
</file>

<file path=xl/comments2.xml><?xml version="1.0" encoding="utf-8"?>
<comments xmlns="http://schemas.openxmlformats.org/spreadsheetml/2006/main">
  <authors>
    <author>hum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Lúpulo se consume:
1- Añadiendo al mosto en la actividad 2. Boiling
2- Como filtro en la actividad 3. Filtering</t>
        </r>
      </text>
    </comment>
  </commentList>
</comments>
</file>

<file path=xl/comments3.xml><?xml version="1.0" encoding="utf-8"?>
<comments xmlns="http://schemas.openxmlformats.org/spreadsheetml/2006/main">
  <authors>
    <author>XP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No es exactamente la tercera parte del coste del producto 1l. porque hay costes que son independientes del volumen, por ej. el envase</t>
        </r>
      </text>
    </comment>
  </commentList>
</comments>
</file>

<file path=xl/sharedStrings.xml><?xml version="1.0" encoding="utf-8"?>
<sst xmlns="http://schemas.openxmlformats.org/spreadsheetml/2006/main" count="292" uniqueCount="195">
  <si>
    <t>CÓDIGO</t>
  </si>
  <si>
    <t>TÍTULO</t>
  </si>
  <si>
    <t>SALDO</t>
  </si>
  <si>
    <t>CAPITAL SOCIAL</t>
  </si>
  <si>
    <t>BASAL ASESORES FISCAL-CONTABLE</t>
  </si>
  <si>
    <t>ELECTRICIDAD FÁBRICA</t>
  </si>
  <si>
    <t>MATERIAL OFICINA</t>
  </si>
  <si>
    <t>LIMPIEZA FÁBRICA</t>
  </si>
  <si>
    <t>LIMPIEZA OFICINAS</t>
  </si>
  <si>
    <t>HIPOT. NAVE POL. IND. OESTE C/CHILE 5/10</t>
  </si>
  <si>
    <t>ACCIONES ENDESA</t>
  </si>
  <si>
    <t>SEG. SOCIAL</t>
  </si>
  <si>
    <t>TOTAL</t>
  </si>
  <si>
    <t>COSTE INDUSTRIAL PERIODO</t>
  </si>
  <si>
    <t>COSTE INDUSTRIAL PROD. TERMINADOS</t>
  </si>
  <si>
    <t>ENERO 2015</t>
  </si>
  <si>
    <t>Área→</t>
  </si>
  <si>
    <t>Fábrica</t>
  </si>
  <si>
    <t>Administración general</t>
  </si>
  <si>
    <t>Comercial</t>
  </si>
  <si>
    <t>Activ.→</t>
  </si>
  <si>
    <t>1. Gerencia</t>
  </si>
  <si>
    <t>1. Gestión clientes</t>
  </si>
  <si>
    <t>2. Promociones</t>
  </si>
  <si>
    <t xml:space="preserve">  3. Publicidad</t>
  </si>
  <si>
    <t>4. Distribución</t>
  </si>
  <si>
    <t>Tipo→</t>
  </si>
  <si>
    <t>Lote</t>
  </si>
  <si>
    <t>Unidad</t>
  </si>
  <si>
    <t>Cliente</t>
  </si>
  <si>
    <t>Empresa</t>
  </si>
  <si>
    <r>
      <t>Cost driver</t>
    </r>
    <r>
      <rPr>
        <b/>
        <sz val="10"/>
        <rFont val="Arial"/>
        <family val="2"/>
      </rPr>
      <t>→</t>
    </r>
  </si>
  <si>
    <t>---</t>
  </si>
  <si>
    <t>Visitas clientes</t>
  </si>
  <si>
    <t>coste activ.</t>
  </si>
  <si>
    <t>nº cost drivers</t>
  </si>
  <si>
    <t>coste/cost driver</t>
  </si>
  <si>
    <t>COSTES COMERCIALES</t>
  </si>
  <si>
    <t>COSTES EMPRESA</t>
  </si>
  <si>
    <t>BARLEYAN, INC.</t>
  </si>
  <si>
    <t>HOPS AND YEASE, INC.</t>
  </si>
  <si>
    <t>CARREFOUR</t>
  </si>
  <si>
    <t>TERRENO EDIFICIO INDUSTRIAL</t>
  </si>
  <si>
    <t>EDIFICIO INDUSTRIAL</t>
  </si>
  <si>
    <t>Días producción</t>
  </si>
  <si>
    <t>Producción</t>
  </si>
  <si>
    <t>precio</t>
  </si>
  <si>
    <t>total</t>
  </si>
  <si>
    <t>Existencias iniciales</t>
  </si>
  <si>
    <t>Compras</t>
  </si>
  <si>
    <t>Existencias finales</t>
  </si>
  <si>
    <t>• Agua</t>
  </si>
  <si>
    <t>• Malta de cebada</t>
  </si>
  <si>
    <t>• Lúpulo</t>
  </si>
  <si>
    <t>• Levadura de cerveza</t>
  </si>
  <si>
    <t>• Alcohol (5% vol.)</t>
  </si>
  <si>
    <t>Estándar normal</t>
  </si>
  <si>
    <t>► botella 1 l.</t>
  </si>
  <si>
    <t>► lata 33 cl.</t>
  </si>
  <si>
    <t>Total</t>
  </si>
  <si>
    <t>Europalets</t>
  </si>
  <si>
    <t>Granel</t>
  </si>
  <si>
    <t>Envasado</t>
  </si>
  <si>
    <t>DATOS REALES</t>
  </si>
  <si>
    <t>Consumo</t>
  </si>
  <si>
    <t>PRODUCCIÓN</t>
  </si>
  <si>
    <t>MATERIAS PRIMAS</t>
  </si>
  <si>
    <t>% S. SOC.</t>
  </si>
  <si>
    <t>COSTE</t>
  </si>
  <si>
    <t>OPERARIO</t>
  </si>
  <si>
    <t>640 SyS</t>
  </si>
  <si>
    <t>642 S.SOC</t>
  </si>
  <si>
    <t>HORAS</t>
  </si>
  <si>
    <t>MANO DE OBRA INDIRECTA</t>
  </si>
  <si>
    <t>subrep.</t>
  </si>
  <si>
    <t>trab. ext.</t>
  </si>
  <si>
    <t>ENVASES</t>
  </si>
  <si>
    <t>VARIACIÓN EXIST. PRODUCTOS EN CURSO</t>
  </si>
  <si>
    <t>Nº LITROS PRODUCIDOS</t>
  </si>
  <si>
    <t>COSTE POR LITRO PRODUCIDO</t>
  </si>
  <si>
    <t>PRODUCTOS TERMINADOS</t>
  </si>
  <si>
    <t>uds</t>
  </si>
  <si>
    <t>coste</t>
  </si>
  <si>
    <t>Ex. inic.</t>
  </si>
  <si>
    <t>C.I.V.</t>
  </si>
  <si>
    <t>Ex. fin.</t>
  </si>
  <si>
    <t>Var. exist.</t>
  </si>
  <si>
    <t>CENTROS COMERCIALES CARREFOUR, S.A.</t>
  </si>
  <si>
    <t>HIPERCOR, S.A.</t>
  </si>
  <si>
    <t>CASH EUROPA, S.A.</t>
  </si>
  <si>
    <t>GRUPO UPPER, S.COOP.</t>
  </si>
  <si>
    <t>MERCADONA, S.A.</t>
  </si>
  <si>
    <t>ALCAMPO, S.A.</t>
  </si>
  <si>
    <t>unidades</t>
  </si>
  <si>
    <t>ventas totales</t>
  </si>
  <si>
    <t>Margen industrial</t>
  </si>
  <si>
    <t>Margen comercial</t>
  </si>
  <si>
    <t>Margen comercial s/vtas</t>
  </si>
  <si>
    <t>Costes empresa</t>
  </si>
  <si>
    <t>Resultado explotación</t>
  </si>
  <si>
    <t>COSTE/
HORA</t>
  </si>
  <si>
    <t>Nº lotes</t>
  </si>
  <si>
    <t>Nº uds envasadas</t>
  </si>
  <si>
    <t>Nº promoc./cliente</t>
  </si>
  <si>
    <t>Adm. general</t>
  </si>
  <si>
    <t>Normal 1 l.</t>
  </si>
  <si>
    <t>Normal 33 cl.</t>
  </si>
  <si>
    <t>Lotes</t>
  </si>
  <si>
    <t>Composición cerveza con alcohol (por litro envasado):</t>
  </si>
  <si>
    <t>TRANSPORTE A CLIENTES</t>
  </si>
  <si>
    <t>PROMOCIONES</t>
  </si>
  <si>
    <t>REPARACIONES MAQUINARIA</t>
  </si>
  <si>
    <t>HOSTELERÍA MURCIA</t>
  </si>
  <si>
    <t>HOSTELERÍA ALICANTE</t>
  </si>
  <si>
    <t>HOSTELERÍA ALMERÍA</t>
  </si>
  <si>
    <t>added</t>
  </si>
  <si>
    <t>as filter</t>
  </si>
  <si>
    <t>Actividades fábrica</t>
  </si>
  <si>
    <t>Nº UNIDADES ENVASADAS 1l. Ó 33cl.</t>
  </si>
  <si>
    <t>COSTE POR UNIDAD ENVASADA 1l. Ó 33cl.</t>
  </si>
  <si>
    <t>Nº litros procesados</t>
  </si>
  <si>
    <t>3. Limpieza</t>
  </si>
  <si>
    <t>2. Contab./fiscal</t>
  </si>
  <si>
    <t>precio venta</t>
  </si>
  <si>
    <t>Nº litros entregados/cliente</t>
  </si>
  <si>
    <t>Costes comerc. cost drivers</t>
  </si>
  <si>
    <t>Costes comerciales €</t>
  </si>
  <si>
    <r>
      <t xml:space="preserve">BALANCE DE SALDOS TRAS REALIZAR TODOS LOS ASIENTOS </t>
    </r>
    <r>
      <rPr>
        <b/>
        <sz val="12"/>
        <color indexed="10"/>
        <rFont val="Arial"/>
        <family val="2"/>
      </rPr>
      <t>EXCEPTO:</t>
    </r>
    <r>
      <rPr>
        <b/>
        <sz val="12"/>
        <rFont val="Arial"/>
        <family val="2"/>
      </rPr>
      <t xml:space="preserve"> 
</t>
    </r>
    <r>
      <rPr>
        <b/>
        <sz val="12"/>
        <color indexed="10"/>
        <rFont val="Arial"/>
        <family val="2"/>
      </rPr>
      <t>A) VARIACIÓN EXISTENCIAS PenC Y PT
B) REGULAR. DE ING. Y GTOS.
C) CIERRE</t>
    </r>
  </si>
  <si>
    <t>MERCADONA</t>
  </si>
  <si>
    <t>CASH EUROPA</t>
  </si>
  <si>
    <t>RESERVAS VOLUNTARIAS</t>
  </si>
  <si>
    <t>EMBALAJES</t>
  </si>
  <si>
    <t>PRÉSTAMO HIPOT.</t>
  </si>
  <si>
    <t>MARCA "CERVEZA SIN ALCOHOL GRISE"</t>
  </si>
  <si>
    <t>MARCA "CERVEZA GRISE"</t>
  </si>
  <si>
    <t>ING</t>
  </si>
  <si>
    <t>RADIO: PUBLICIDAD EMPRESA</t>
  </si>
  <si>
    <t>GERENTE-ATG</t>
  </si>
  <si>
    <t>JEFE ADMINISTRACIÓN-EDB</t>
  </si>
  <si>
    <t>DIRECTOR COMERCIAL-LMBA</t>
  </si>
  <si>
    <t>COMERCIAL-SMG</t>
  </si>
  <si>
    <t>COMERCIAL-BBL</t>
  </si>
  <si>
    <t>SUPERVISOR FÁBRICA-AMRG</t>
  </si>
  <si>
    <t>OPERADOR PLANTA-TPL</t>
  </si>
  <si>
    <t>OPERADOR PLANTA-JCS</t>
  </si>
  <si>
    <t>OPERADOR PLANTA-JABC</t>
  </si>
  <si>
    <t>OPERADOR PLANTA-SMH</t>
  </si>
  <si>
    <t>TANQUE DE MEZCLADO</t>
  </si>
  <si>
    <t>TANQUE EBULLICIÓN</t>
  </si>
  <si>
    <t>CUBA DE LÚPULO</t>
  </si>
  <si>
    <t>INTERCAMBIADOR DE CALOR</t>
  </si>
  <si>
    <t>TANQUE DE FERMENTACIÓN</t>
  </si>
  <si>
    <t>TANQUE DE VACÍO</t>
  </si>
  <si>
    <t>TUBERÍAS</t>
  </si>
  <si>
    <t>EMBOTELLADORA ( BOTELLAS 1 L.)</t>
  </si>
  <si>
    <t>ENLATADORA (LATAS 33 CL.)</t>
  </si>
  <si>
    <t>TANQUE AGUA CALIENTE</t>
  </si>
  <si>
    <t>CERVEZA NORMAL BOTELLA 1 L.</t>
  </si>
  <si>
    <t>CERVEZA NORMAL LATA 33 CL</t>
  </si>
  <si>
    <t>CERVEZA SIN ALCHOL BOTELLA 1 L</t>
  </si>
  <si>
    <t>CERVEZA SIN ALCHOL LATA 33 CL</t>
  </si>
  <si>
    <t>AGUA</t>
  </si>
  <si>
    <t>MALTA DE CEBADA</t>
  </si>
  <si>
    <t>LÚPULO</t>
  </si>
  <si>
    <t>LEVADURA</t>
  </si>
  <si>
    <t>BOTELLA 1 L. (CERVEZA NORMAL)</t>
  </si>
  <si>
    <t>LATA 33 CL (CERVEZA NORMAL)</t>
  </si>
  <si>
    <t>BOTELLA 1 L (CERVEZA SIN ALCHOL)</t>
  </si>
  <si>
    <t>LATA 33 CL (CERVEZA SIN ALCHOL)</t>
  </si>
  <si>
    <t>CERVEZA NORMAL</t>
  </si>
  <si>
    <t>CERVEZA SIN ALCOHOL</t>
  </si>
  <si>
    <t>Sin alcohol 1 l.</t>
  </si>
  <si>
    <t>Sin alcohol 33 cl.</t>
  </si>
  <si>
    <t>1. Mezclado</t>
  </si>
  <si>
    <t>2. Ebullición</t>
  </si>
  <si>
    <t>3. Flitrado</t>
  </si>
  <si>
    <t>4. Fermentación</t>
  </si>
  <si>
    <t>5. Evaporación del alcohol</t>
  </si>
  <si>
    <t>6a. Enlatado</t>
  </si>
  <si>
    <t>6b. Embotellado</t>
  </si>
  <si>
    <t>GRISE S.A. aplica ABC para la toma de decisiones. Fabrica:</t>
  </si>
  <si>
    <t>1- Cerveza normal
2- Cerveza sin alcohol</t>
  </si>
  <si>
    <t>Las cuentas siguen un desglose de 10 dígitos (Plan General de Contabilidad español de 2007)</t>
  </si>
  <si>
    <r>
      <t>Periodo contable: Enero</t>
    </r>
    <r>
      <rPr>
        <b/>
        <sz val="14"/>
        <rFont val="Calibri"/>
        <family val="2"/>
      </rPr>
      <t xml:space="preserve"> 2015</t>
    </r>
    <r>
      <rPr>
        <sz val="14"/>
        <rFont val="Calibri"/>
        <family val="2"/>
      </rPr>
      <t xml:space="preserve">. </t>
    </r>
  </si>
  <si>
    <t>Balance de situación a 31 de enero 2015 aparece en la siguiente pestaña. Todos los asientos están registrados excepto:</t>
  </si>
  <si>
    <t>a) Variación de existencias</t>
  </si>
  <si>
    <t>b) Asiento de regularización</t>
  </si>
  <si>
    <t>c) Asiento de cierre</t>
  </si>
  <si>
    <t>Trabajo a realizar:</t>
  </si>
  <si>
    <t>Usando la metodología ABC:</t>
  </si>
  <si>
    <t>Asignar costes a actividades (primera etapa)</t>
  </si>
  <si>
    <t>Calcular los conductores de coste para las actividades</t>
  </si>
  <si>
    <t>Asignar costes de las actividades a los objetos de coste (segunda etapa)</t>
  </si>
  <si>
    <t>Utilice ABC para calcular los márgenes de productos y clientes .</t>
  </si>
  <si>
    <t>Asientos de variación de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</si>
</sst>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4" formatCode="_-* #,##0.00\ &quot;€&quot;_-;\-* #,##0.00\ &quot;€&quot;_-;_-* &quot;-&quot;??\ &quot;€&quot;_-;_-@_-"/>
    <numFmt numFmtId="164" formatCode="#,##0.00\ &quot;€&quot;"/>
    <numFmt numFmtId="165" formatCode="#,##0\ &quot;pedidos nar.&quot;"/>
    <numFmt numFmtId="166" formatCode="#,##0\ &quot;pedidos pom.&quot;"/>
    <numFmt numFmtId="167" formatCode="#,##0\ &quot;días&quot;"/>
    <numFmt numFmtId="168" formatCode="#,##0.00\ &quot;litros/día&quot;"/>
    <numFmt numFmtId="169" formatCode="#,##0.00\ &quot;kg/litro&quot;"/>
    <numFmt numFmtId="170" formatCode="#,##0.00\ &quot;kg&quot;"/>
    <numFmt numFmtId="171" formatCode="#,##0.0000\ &quot;€/kg&quot;"/>
    <numFmt numFmtId="172" formatCode="#,##0.00\ &quot;l.&quot;"/>
    <numFmt numFmtId="173" formatCode="#,##0.0000\ &quot;€/l.&quot;"/>
    <numFmt numFmtId="174" formatCode="#,##0\ &quot;l./día&quot;"/>
    <numFmt numFmtId="175" formatCode="#,##0\ &quot;uds.&quot;"/>
    <numFmt numFmtId="176" formatCode="#,##0.00\ &quot;ml/l.&quot;"/>
    <numFmt numFmtId="177" formatCode="#,##0.00\ &quot;  g/l.&quot;"/>
    <numFmt numFmtId="178" formatCode="0.000000"/>
    <numFmt numFmtId="179" formatCode="#,##0.00\ &quot;h&quot;"/>
    <numFmt numFmtId="180" formatCode="#,##0.00\ &quot;€/h&quot;"/>
    <numFmt numFmtId="181" formatCode="0.00\ &quot;h&quot;"/>
    <numFmt numFmtId="182" formatCode="#,##0\ &quot;litros&quot;"/>
    <numFmt numFmtId="183" formatCode="#,##0\ &quot;uds. 1l.&quot;"/>
    <numFmt numFmtId="184" formatCode="0.000\ &quot;€/litro&quot;"/>
    <numFmt numFmtId="185" formatCode="#,##0.0000\ &quot;€/unidad&quot;"/>
    <numFmt numFmtId="186" formatCode="0.0000"/>
    <numFmt numFmtId="187" formatCode="#,##0.00\ &quot;uds.&quot;"/>
    <numFmt numFmtId="188" formatCode="#,##0.0000\ &quot;€/ud.&quot;"/>
    <numFmt numFmtId="189" formatCode="#,##0\ &quot;lotes&quot;"/>
    <numFmt numFmtId="190" formatCode="#,##0\ &quot;uds. 33 cl.&quot;"/>
    <numFmt numFmtId="191" formatCode="0.0000\ &quot;€/ botella 1l.&quot;"/>
    <numFmt numFmtId="192" formatCode="0.0000\ &quot;€/lata 33 cl.&quot;"/>
    <numFmt numFmtId="193" formatCode="#,##0\ &quot;l.&quot;"/>
    <numFmt numFmtId="194" formatCode="#,##0\ &quot;visitas&quot;"/>
    <numFmt numFmtId="195" formatCode="#,##0\ &quot;promoc.&quot;"/>
    <numFmt numFmtId="196" formatCode="\ #,##0.00\ &quot;€&quot;\ &quot;=Saldo PyG&quot;"/>
  </numFmts>
  <fonts count="2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b/>
      <sz val="11"/>
      <color indexed="11"/>
      <name val="Tahoma"/>
      <family val="2"/>
    </font>
    <font>
      <b/>
      <sz val="11"/>
      <color indexed="10"/>
      <name val="Tahoma"/>
      <family val="2"/>
    </font>
    <font>
      <b/>
      <sz val="16"/>
      <color indexed="81"/>
      <name val="Tahoma"/>
      <family val="2"/>
    </font>
    <font>
      <b/>
      <sz val="16"/>
      <color indexed="11"/>
      <name val="Tahoma"/>
      <family val="2"/>
    </font>
    <font>
      <b/>
      <sz val="16"/>
      <color indexed="10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9"/>
      <name val="Arial"/>
      <family val="2"/>
    </font>
    <font>
      <sz val="12"/>
      <color rgb="FF212121"/>
      <name val="Inherit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1" fillId="0" borderId="0" applyFill="0" applyBorder="0" applyAlignment="0" applyProtection="0"/>
    <xf numFmtId="9" fontId="3" fillId="0" borderId="0" applyFill="0" applyBorder="0" applyAlignment="0" applyProtection="0"/>
  </cellStyleXfs>
  <cellXfs count="378">
    <xf numFmtId="0" fontId="0" fillId="0" borderId="0" xfId="0"/>
    <xf numFmtId="3" fontId="0" fillId="0" borderId="0" xfId="0" applyNumberFormat="1"/>
    <xf numFmtId="0" fontId="0" fillId="0" borderId="0" xfId="0" applyBorder="1"/>
    <xf numFmtId="0" fontId="5" fillId="0" borderId="0" xfId="0" applyFont="1"/>
    <xf numFmtId="9" fontId="5" fillId="0" borderId="0" xfId="3" applyFont="1" applyFill="1" applyBorder="1" applyAlignment="1" applyProtection="1">
      <alignment wrapText="1"/>
    </xf>
    <xf numFmtId="0" fontId="4" fillId="0" borderId="0" xfId="0" applyFont="1" applyAlignment="1">
      <alignment horizontal="left" wrapText="1"/>
    </xf>
    <xf numFmtId="9" fontId="5" fillId="0" borderId="0" xfId="3" applyFont="1" applyFill="1" applyBorder="1" applyAlignment="1" applyProtection="1">
      <alignment horizontal="right" wrapText="1" indent="15"/>
    </xf>
    <xf numFmtId="0" fontId="5" fillId="0" borderId="0" xfId="0" applyFont="1" applyAlignment="1">
      <alignment horizontal="left" wrapText="1" indent="15"/>
    </xf>
    <xf numFmtId="0" fontId="2" fillId="0" borderId="1" xfId="0" applyFont="1" applyBorder="1"/>
    <xf numFmtId="0" fontId="7" fillId="0" borderId="0" xfId="0" applyFont="1"/>
    <xf numFmtId="0" fontId="2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4" fontId="0" fillId="0" borderId="1" xfId="0" applyNumberFormat="1" applyBorder="1"/>
    <xf numFmtId="0" fontId="0" fillId="0" borderId="1" xfId="0" applyBorder="1"/>
    <xf numFmtId="4" fontId="0" fillId="0" borderId="3" xfId="0" applyNumberFormat="1" applyBorder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0" fontId="0" fillId="0" borderId="8" xfId="0" applyBorder="1"/>
    <xf numFmtId="0" fontId="14" fillId="0" borderId="0" xfId="0" applyFont="1"/>
    <xf numFmtId="0" fontId="0" fillId="0" borderId="1" xfId="0" applyBorder="1" applyAlignment="1">
      <alignment horizontal="center"/>
    </xf>
    <xf numFmtId="170" fontId="2" fillId="0" borderId="1" xfId="0" applyNumberFormat="1" applyFont="1" applyBorder="1"/>
    <xf numFmtId="170" fontId="3" fillId="0" borderId="1" xfId="0" applyNumberFormat="1" applyFont="1" applyBorder="1"/>
    <xf numFmtId="0" fontId="0" fillId="0" borderId="1" xfId="0" applyFill="1" applyBorder="1"/>
    <xf numFmtId="171" fontId="0" fillId="0" borderId="1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0" fontId="19" fillId="0" borderId="0" xfId="0" quotePrefix="1" applyFont="1"/>
    <xf numFmtId="0" fontId="15" fillId="3" borderId="1" xfId="0" applyFont="1" applyFill="1" applyBorder="1"/>
    <xf numFmtId="0" fontId="15" fillId="0" borderId="1" xfId="0" applyFont="1" applyBorder="1"/>
    <xf numFmtId="0" fontId="0" fillId="0" borderId="0" xfId="0" applyFill="1" applyBorder="1"/>
    <xf numFmtId="170" fontId="0" fillId="0" borderId="0" xfId="0" applyNumberFormat="1" applyBorder="1"/>
    <xf numFmtId="170" fontId="2" fillId="0" borderId="0" xfId="0" applyNumberFormat="1" applyFont="1" applyBorder="1"/>
    <xf numFmtId="171" fontId="0" fillId="0" borderId="0" xfId="0" applyNumberFormat="1" applyBorder="1"/>
    <xf numFmtId="172" fontId="2" fillId="0" borderId="1" xfId="0" applyNumberFormat="1" applyFont="1" applyBorder="1"/>
    <xf numFmtId="0" fontId="2" fillId="0" borderId="0" xfId="0" applyFont="1"/>
    <xf numFmtId="173" fontId="0" fillId="0" borderId="1" xfId="0" applyNumberFormat="1" applyBorder="1"/>
    <xf numFmtId="169" fontId="0" fillId="0" borderId="0" xfId="0" applyNumberFormat="1" applyBorder="1"/>
    <xf numFmtId="0" fontId="14" fillId="0" borderId="0" xfId="0" applyFont="1" applyBorder="1"/>
    <xf numFmtId="167" fontId="0" fillId="0" borderId="0" xfId="0" applyNumberFormat="1"/>
    <xf numFmtId="172" fontId="2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172" fontId="2" fillId="0" borderId="0" xfId="0" applyNumberFormat="1" applyFont="1" applyBorder="1" applyAlignment="1"/>
    <xf numFmtId="175" fontId="2" fillId="0" borderId="1" xfId="0" applyNumberFormat="1" applyFont="1" applyBorder="1"/>
    <xf numFmtId="172" fontId="2" fillId="0" borderId="5" xfId="0" applyNumberFormat="1" applyFont="1" applyBorder="1" applyAlignment="1"/>
    <xf numFmtId="167" fontId="0" fillId="0" borderId="6" xfId="0" applyNumberFormat="1" applyBorder="1" applyAlignment="1">
      <alignment horizontal="center"/>
    </xf>
    <xf numFmtId="174" fontId="0" fillId="0" borderId="1" xfId="0" applyNumberFormat="1" applyFont="1" applyBorder="1"/>
    <xf numFmtId="0" fontId="2" fillId="4" borderId="1" xfId="0" applyFont="1" applyFill="1" applyBorder="1"/>
    <xf numFmtId="168" fontId="0" fillId="0" borderId="6" xfId="0" applyNumberFormat="1" applyBorder="1" applyAlignment="1">
      <alignment horizontal="center"/>
    </xf>
    <xf numFmtId="3" fontId="2" fillId="0" borderId="1" xfId="0" applyNumberFormat="1" applyFont="1" applyBorder="1" applyAlignment="1"/>
    <xf numFmtId="0" fontId="0" fillId="0" borderId="2" xfId="0" applyBorder="1" applyAlignment="1">
      <alignment horizontal="center"/>
    </xf>
    <xf numFmtId="176" fontId="0" fillId="0" borderId="1" xfId="0" applyNumberFormat="1" applyBorder="1"/>
    <xf numFmtId="177" fontId="0" fillId="5" borderId="1" xfId="0" applyNumberFormat="1" applyFill="1" applyBorder="1"/>
    <xf numFmtId="2" fontId="0" fillId="0" borderId="1" xfId="0" applyNumberFormat="1" applyBorder="1"/>
    <xf numFmtId="164" fontId="0" fillId="0" borderId="0" xfId="0" applyNumberFormat="1"/>
    <xf numFmtId="0" fontId="14" fillId="0" borderId="0" xfId="0" quotePrefix="1" applyFont="1"/>
    <xf numFmtId="164" fontId="0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Border="1"/>
    <xf numFmtId="179" fontId="0" fillId="0" borderId="0" xfId="0" applyNumberFormat="1"/>
    <xf numFmtId="2" fontId="0" fillId="0" borderId="0" xfId="0" applyNumberFormat="1"/>
    <xf numFmtId="0" fontId="3" fillId="0" borderId="0" xfId="0" applyFont="1" applyBorder="1" applyAlignment="1">
      <alignment vertical="top" wrapText="1"/>
    </xf>
    <xf numFmtId="181" fontId="0" fillId="0" borderId="0" xfId="0" applyNumberFormat="1" applyBorder="1"/>
    <xf numFmtId="0" fontId="2" fillId="0" borderId="0" xfId="0" applyFont="1" applyFill="1" applyBorder="1" applyAlignment="1">
      <alignment vertical="top" wrapText="1"/>
    </xf>
    <xf numFmtId="181" fontId="2" fillId="0" borderId="0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0" fillId="0" borderId="1" xfId="0" applyNumberFormat="1" applyFill="1" applyBorder="1"/>
    <xf numFmtId="3" fontId="0" fillId="0" borderId="1" xfId="0" applyNumberFormat="1" applyBorder="1"/>
    <xf numFmtId="3" fontId="0" fillId="0" borderId="1" xfId="0" applyNumberFormat="1" applyFill="1" applyBorder="1"/>
    <xf numFmtId="4" fontId="2" fillId="0" borderId="0" xfId="0" applyNumberFormat="1" applyFont="1"/>
    <xf numFmtId="4" fontId="0" fillId="0" borderId="3" xfId="0" applyNumberFormat="1" applyFill="1" applyBorder="1"/>
    <xf numFmtId="4" fontId="2" fillId="0" borderId="5" xfId="0" applyNumberFormat="1" applyFont="1" applyBorder="1"/>
    <xf numFmtId="0" fontId="0" fillId="0" borderId="9" xfId="0" applyBorder="1"/>
    <xf numFmtId="3" fontId="2" fillId="0" borderId="10" xfId="0" applyNumberFormat="1" applyFont="1" applyBorder="1"/>
    <xf numFmtId="182" fontId="0" fillId="0" borderId="10" xfId="0" applyNumberFormat="1" applyFill="1" applyBorder="1"/>
    <xf numFmtId="0" fontId="0" fillId="0" borderId="11" xfId="0" applyBorder="1"/>
    <xf numFmtId="0" fontId="0" fillId="0" borderId="12" xfId="0" applyBorder="1"/>
    <xf numFmtId="183" fontId="0" fillId="0" borderId="1" xfId="0" applyNumberFormat="1" applyFill="1" applyBorder="1"/>
    <xf numFmtId="183" fontId="0" fillId="0" borderId="1" xfId="0" applyNumberFormat="1" applyBorder="1"/>
    <xf numFmtId="3" fontId="2" fillId="0" borderId="13" xfId="0" applyNumberFormat="1" applyFont="1" applyBorder="1"/>
    <xf numFmtId="184" fontId="0" fillId="0" borderId="10" xfId="0" applyNumberFormat="1" applyFill="1" applyBorder="1"/>
    <xf numFmtId="0" fontId="2" fillId="2" borderId="12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0" fillId="0" borderId="0" xfId="0" applyFill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Fill="1" applyBorder="1"/>
    <xf numFmtId="3" fontId="0" fillId="0" borderId="2" xfId="0" applyNumberFormat="1" applyBorder="1"/>
    <xf numFmtId="185" fontId="0" fillId="0" borderId="1" xfId="0" applyNumberFormat="1" applyBorder="1"/>
    <xf numFmtId="164" fontId="0" fillId="0" borderId="15" xfId="0" applyNumberFormat="1" applyBorder="1"/>
    <xf numFmtId="185" fontId="2" fillId="2" borderId="1" xfId="0" applyNumberFormat="1" applyFont="1" applyFill="1" applyBorder="1"/>
    <xf numFmtId="164" fontId="0" fillId="0" borderId="16" xfId="0" applyNumberFormat="1" applyBorder="1"/>
    <xf numFmtId="4" fontId="2" fillId="0" borderId="7" xfId="0" applyNumberFormat="1" applyFont="1" applyBorder="1"/>
    <xf numFmtId="4" fontId="2" fillId="0" borderId="3" xfId="0" applyNumberFormat="1" applyFont="1" applyBorder="1"/>
    <xf numFmtId="10" fontId="3" fillId="0" borderId="0" xfId="3" applyNumberFormat="1"/>
    <xf numFmtId="0" fontId="0" fillId="0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3" fontId="0" fillId="0" borderId="13" xfId="0" applyNumberFormat="1" applyBorder="1"/>
    <xf numFmtId="0" fontId="2" fillId="2" borderId="3" xfId="0" applyFont="1" applyFill="1" applyBorder="1" applyAlignment="1">
      <alignment horizontal="left"/>
    </xf>
    <xf numFmtId="2" fontId="0" fillId="0" borderId="3" xfId="0" applyNumberFormat="1" applyBorder="1"/>
    <xf numFmtId="0" fontId="2" fillId="2" borderId="13" xfId="0" applyFont="1" applyFill="1" applyBorder="1" applyAlignment="1">
      <alignment horizontal="left"/>
    </xf>
    <xf numFmtId="4" fontId="2" fillId="0" borderId="13" xfId="0" applyNumberFormat="1" applyFont="1" applyBorder="1"/>
    <xf numFmtId="2" fontId="0" fillId="0" borderId="13" xfId="0" applyNumberFormat="1" applyBorder="1"/>
    <xf numFmtId="2" fontId="0" fillId="0" borderId="13" xfId="0" applyNumberFormat="1" applyFill="1" applyBorder="1"/>
    <xf numFmtId="0" fontId="2" fillId="2" borderId="5" xfId="0" applyFont="1" applyFill="1" applyBorder="1" applyAlignment="1">
      <alignment horizontal="left"/>
    </xf>
    <xf numFmtId="4" fontId="0" fillId="0" borderId="5" xfId="0" applyNumberFormat="1" applyFill="1" applyBorder="1"/>
    <xf numFmtId="0" fontId="2" fillId="0" borderId="17" xfId="0" applyFont="1" applyFill="1" applyBorder="1" applyAlignment="1">
      <alignment horizontal="left"/>
    </xf>
    <xf numFmtId="4" fontId="0" fillId="0" borderId="18" xfId="0" applyNumberFormat="1" applyBorder="1"/>
    <xf numFmtId="0" fontId="2" fillId="2" borderId="10" xfId="0" applyFont="1" applyFill="1" applyBorder="1" applyAlignment="1">
      <alignment horizontal="left"/>
    </xf>
    <xf numFmtId="4" fontId="2" fillId="0" borderId="10" xfId="0" applyNumberFormat="1" applyFont="1" applyBorder="1"/>
    <xf numFmtId="4" fontId="0" fillId="0" borderId="10" xfId="0" applyNumberFormat="1" applyBorder="1"/>
    <xf numFmtId="4" fontId="0" fillId="0" borderId="10" xfId="0" applyNumberFormat="1" applyFill="1" applyBorder="1"/>
    <xf numFmtId="4" fontId="0" fillId="0" borderId="13" xfId="0" applyNumberFormat="1" applyBorder="1"/>
    <xf numFmtId="4" fontId="0" fillId="0" borderId="13" xfId="0" applyNumberFormat="1" applyFill="1" applyBorder="1"/>
    <xf numFmtId="0" fontId="2" fillId="2" borderId="19" xfId="0" applyFont="1" applyFill="1" applyBorder="1" applyAlignment="1"/>
    <xf numFmtId="4" fontId="0" fillId="6" borderId="1" xfId="0" applyNumberFormat="1" applyFill="1" applyBorder="1"/>
    <xf numFmtId="0" fontId="3" fillId="0" borderId="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10" fontId="2" fillId="0" borderId="7" xfId="3" applyNumberFormat="1" applyFont="1" applyBorder="1"/>
    <xf numFmtId="4" fontId="0" fillId="6" borderId="3" xfId="0" applyNumberFormat="1" applyFill="1" applyBorder="1"/>
    <xf numFmtId="0" fontId="2" fillId="7" borderId="1" xfId="0" applyFont="1" applyFill="1" applyBorder="1" applyAlignment="1">
      <alignment horizontal="left"/>
    </xf>
    <xf numFmtId="4" fontId="2" fillId="7" borderId="1" xfId="0" applyNumberFormat="1" applyFont="1" applyFill="1" applyBorder="1"/>
    <xf numFmtId="9" fontId="3" fillId="0" borderId="0" xfId="3"/>
    <xf numFmtId="0" fontId="2" fillId="0" borderId="8" xfId="0" applyFont="1" applyBorder="1" applyAlignment="1">
      <alignment wrapText="1"/>
    </xf>
    <xf numFmtId="180" fontId="0" fillId="0" borderId="8" xfId="0" applyNumberFormat="1" applyBorder="1"/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0" fillId="9" borderId="6" xfId="0" applyFill="1" applyBorder="1" applyAlignment="1">
      <alignment horizontal="center"/>
    </xf>
    <xf numFmtId="1" fontId="0" fillId="0" borderId="1" xfId="0" applyNumberFormat="1" applyBorder="1"/>
    <xf numFmtId="0" fontId="6" fillId="0" borderId="0" xfId="0" applyFont="1" applyAlignment="1">
      <alignment horizontal="center" textRotation="180"/>
    </xf>
    <xf numFmtId="0" fontId="0" fillId="0" borderId="0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173" fontId="0" fillId="0" borderId="8" xfId="0" applyNumberFormat="1" applyFont="1" applyBorder="1"/>
    <xf numFmtId="171" fontId="0" fillId="0" borderId="8" xfId="0" applyNumberFormat="1" applyFont="1" applyBorder="1"/>
    <xf numFmtId="186" fontId="0" fillId="0" borderId="1" xfId="0" applyNumberFormat="1" applyBorder="1"/>
    <xf numFmtId="4" fontId="17" fillId="0" borderId="4" xfId="0" applyNumberFormat="1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horizontal="right" vertical="center"/>
    </xf>
    <xf numFmtId="4" fontId="17" fillId="0" borderId="20" xfId="0" applyNumberFormat="1" applyFont="1" applyBorder="1" applyAlignment="1">
      <alignment horizontal="right" vertical="center" wrapText="1"/>
    </xf>
    <xf numFmtId="187" fontId="2" fillId="0" borderId="1" xfId="0" applyNumberFormat="1" applyFont="1" applyBorder="1"/>
    <xf numFmtId="188" fontId="0" fillId="0" borderId="1" xfId="0" applyNumberFormat="1" applyBorder="1"/>
    <xf numFmtId="0" fontId="0" fillId="8" borderId="1" xfId="0" applyFill="1" applyBorder="1" applyAlignment="1">
      <alignment textRotation="90"/>
    </xf>
    <xf numFmtId="4" fontId="0" fillId="8" borderId="1" xfId="0" applyNumberFormat="1" applyFill="1" applyBorder="1" applyAlignment="1">
      <alignment textRotation="90"/>
    </xf>
    <xf numFmtId="0" fontId="0" fillId="8" borderId="1" xfId="0" applyFill="1" applyBorder="1" applyAlignment="1">
      <alignment textRotation="90" wrapText="1"/>
    </xf>
    <xf numFmtId="0" fontId="7" fillId="8" borderId="1" xfId="0" applyFont="1" applyFill="1" applyBorder="1" applyAlignment="1">
      <alignment vertical="top" wrapText="1"/>
    </xf>
    <xf numFmtId="0" fontId="0" fillId="10" borderId="1" xfId="0" applyFill="1" applyBorder="1" applyAlignment="1">
      <alignment textRotation="90" wrapText="1"/>
    </xf>
    <xf numFmtId="0" fontId="7" fillId="10" borderId="1" xfId="0" applyFont="1" applyFill="1" applyBorder="1" applyAlignment="1">
      <alignment wrapText="1"/>
    </xf>
    <xf numFmtId="0" fontId="0" fillId="7" borderId="1" xfId="0" applyFill="1" applyBorder="1" applyAlignment="1">
      <alignment textRotation="90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0" fillId="10" borderId="1" xfId="0" applyFill="1" applyBorder="1" applyAlignment="1">
      <alignment textRotation="90"/>
    </xf>
    <xf numFmtId="0" fontId="7" fillId="10" borderId="1" xfId="0" applyFont="1" applyFill="1" applyBorder="1" applyAlignment="1">
      <alignment vertical="top" wrapText="1"/>
    </xf>
    <xf numFmtId="0" fontId="0" fillId="7" borderId="1" xfId="0" applyFill="1" applyBorder="1" applyAlignment="1">
      <alignment textRotation="90"/>
    </xf>
    <xf numFmtId="0" fontId="7" fillId="7" borderId="1" xfId="0" applyFont="1" applyFill="1" applyBorder="1" applyAlignment="1">
      <alignment vertical="top" wrapText="1"/>
    </xf>
    <xf numFmtId="4" fontId="6" fillId="0" borderId="22" xfId="0" applyNumberFormat="1" applyFont="1" applyFill="1" applyBorder="1" applyAlignment="1">
      <alignment horizontal="center" textRotation="180"/>
    </xf>
    <xf numFmtId="0" fontId="17" fillId="0" borderId="0" xfId="0" applyFont="1"/>
    <xf numFmtId="4" fontId="17" fillId="0" borderId="1" xfId="0" applyNumberFormat="1" applyFont="1" applyBorder="1"/>
    <xf numFmtId="0" fontId="17" fillId="0" borderId="1" xfId="0" applyFont="1" applyBorder="1"/>
    <xf numFmtId="4" fontId="17" fillId="0" borderId="3" xfId="0" applyNumberFormat="1" applyFont="1" applyBorder="1"/>
    <xf numFmtId="4" fontId="17" fillId="0" borderId="13" xfId="0" applyNumberFormat="1" applyFont="1" applyBorder="1"/>
    <xf numFmtId="0" fontId="17" fillId="0" borderId="23" xfId="0" applyFont="1" applyBorder="1"/>
    <xf numFmtId="10" fontId="17" fillId="0" borderId="3" xfId="0" applyNumberFormat="1" applyFont="1" applyBorder="1"/>
    <xf numFmtId="10" fontId="17" fillId="0" borderId="1" xfId="0" applyNumberFormat="1" applyFont="1" applyBorder="1"/>
    <xf numFmtId="4" fontId="17" fillId="0" borderId="0" xfId="0" applyNumberFormat="1" applyFont="1" applyBorder="1"/>
    <xf numFmtId="4" fontId="17" fillId="11" borderId="0" xfId="0" applyNumberFormat="1" applyFont="1" applyFill="1"/>
    <xf numFmtId="4" fontId="17" fillId="0" borderId="24" xfId="0" applyNumberFormat="1" applyFont="1" applyBorder="1"/>
    <xf numFmtId="4" fontId="17" fillId="0" borderId="5" xfId="0" applyNumberFormat="1" applyFont="1" applyBorder="1"/>
    <xf numFmtId="165" fontId="17" fillId="0" borderId="25" xfId="0" applyNumberFormat="1" applyFont="1" applyBorder="1"/>
    <xf numFmtId="166" fontId="17" fillId="0" borderId="1" xfId="0" applyNumberFormat="1" applyFont="1" applyBorder="1"/>
    <xf numFmtId="0" fontId="17" fillId="0" borderId="3" xfId="0" applyFont="1" applyBorder="1"/>
    <xf numFmtId="0" fontId="17" fillId="0" borderId="0" xfId="0" applyFont="1" applyBorder="1"/>
    <xf numFmtId="4" fontId="17" fillId="0" borderId="2" xfId="0" applyNumberFormat="1" applyFont="1" applyBorder="1"/>
    <xf numFmtId="4" fontId="17" fillId="0" borderId="25" xfId="0" applyNumberFormat="1" applyFont="1" applyBorder="1"/>
    <xf numFmtId="0" fontId="17" fillId="0" borderId="2" xfId="0" applyFont="1" applyBorder="1"/>
    <xf numFmtId="4" fontId="17" fillId="0" borderId="26" xfId="0" applyNumberFormat="1" applyFont="1" applyBorder="1"/>
    <xf numFmtId="4" fontId="17" fillId="0" borderId="15" xfId="0" applyNumberFormat="1" applyFont="1" applyFill="1" applyBorder="1" applyAlignment="1">
      <alignment horizontal="right" vertical="center" wrapText="1"/>
    </xf>
    <xf numFmtId="4" fontId="17" fillId="0" borderId="27" xfId="0" applyNumberFormat="1" applyFont="1" applyFill="1" applyBorder="1" applyAlignment="1">
      <alignment horizontal="right" vertical="center" wrapText="1"/>
    </xf>
    <xf numFmtId="4" fontId="17" fillId="0" borderId="28" xfId="0" applyNumberFormat="1" applyFont="1" applyFill="1" applyBorder="1" applyAlignment="1">
      <alignment horizontal="right" vertical="center" wrapText="1"/>
    </xf>
    <xf numFmtId="3" fontId="17" fillId="0" borderId="28" xfId="0" applyNumberFormat="1" applyFont="1" applyFill="1" applyBorder="1" applyAlignment="1">
      <alignment horizontal="right" vertical="center" wrapText="1"/>
    </xf>
    <xf numFmtId="4" fontId="17" fillId="0" borderId="29" xfId="0" applyNumberFormat="1" applyFont="1" applyFill="1" applyBorder="1" applyAlignment="1">
      <alignment horizontal="right" vertical="center" wrapText="1"/>
    </xf>
    <xf numFmtId="10" fontId="17" fillId="0" borderId="0" xfId="0" applyNumberFormat="1" applyFont="1"/>
    <xf numFmtId="4" fontId="17" fillId="4" borderId="2" xfId="0" applyNumberFormat="1" applyFont="1" applyFill="1" applyBorder="1"/>
    <xf numFmtId="4" fontId="17" fillId="4" borderId="1" xfId="0" applyNumberFormat="1" applyFont="1" applyFill="1" applyBorder="1"/>
    <xf numFmtId="10" fontId="17" fillId="4" borderId="1" xfId="0" applyNumberFormat="1" applyFont="1" applyFill="1" applyBorder="1"/>
    <xf numFmtId="10" fontId="17" fillId="4" borderId="0" xfId="0" applyNumberFormat="1" applyFont="1" applyFill="1"/>
    <xf numFmtId="0" fontId="17" fillId="4" borderId="0" xfId="0" applyFont="1" applyFill="1"/>
    <xf numFmtId="0" fontId="0" fillId="8" borderId="2" xfId="0" applyFill="1" applyBorder="1" applyAlignment="1">
      <alignment textRotation="90"/>
    </xf>
    <xf numFmtId="0" fontId="7" fillId="8" borderId="2" xfId="0" applyFont="1" applyFill="1" applyBorder="1" applyAlignment="1">
      <alignment vertical="top" wrapText="1"/>
    </xf>
    <xf numFmtId="10" fontId="17" fillId="0" borderId="25" xfId="0" applyNumberFormat="1" applyFont="1" applyBorder="1"/>
    <xf numFmtId="10" fontId="17" fillId="0" borderId="2" xfId="0" applyNumberFormat="1" applyFont="1" applyBorder="1"/>
    <xf numFmtId="10" fontId="17" fillId="4" borderId="2" xfId="0" applyNumberFormat="1" applyFont="1" applyFill="1" applyBorder="1"/>
    <xf numFmtId="0" fontId="0" fillId="7" borderId="30" xfId="0" applyFill="1" applyBorder="1" applyAlignment="1">
      <alignment textRotation="90" wrapText="1"/>
    </xf>
    <xf numFmtId="0" fontId="7" fillId="7" borderId="30" xfId="0" applyFont="1" applyFill="1" applyBorder="1"/>
    <xf numFmtId="0" fontId="7" fillId="7" borderId="30" xfId="0" applyFont="1" applyFill="1" applyBorder="1" applyAlignment="1">
      <alignment wrapText="1"/>
    </xf>
    <xf numFmtId="0" fontId="17" fillId="0" borderId="30" xfId="0" applyFont="1" applyBorder="1"/>
    <xf numFmtId="4" fontId="17" fillId="0" borderId="31" xfId="0" applyNumberFormat="1" applyFont="1" applyBorder="1"/>
    <xf numFmtId="4" fontId="17" fillId="0" borderId="30" xfId="0" applyNumberFormat="1" applyFont="1" applyBorder="1"/>
    <xf numFmtId="4" fontId="17" fillId="0" borderId="32" xfId="0" applyNumberFormat="1" applyFont="1" applyBorder="1"/>
    <xf numFmtId="4" fontId="17" fillId="4" borderId="30" xfId="0" applyNumberFormat="1" applyFont="1" applyFill="1" applyBorder="1"/>
    <xf numFmtId="0" fontId="17" fillId="0" borderId="31" xfId="0" applyFont="1" applyBorder="1"/>
    <xf numFmtId="3" fontId="17" fillId="0" borderId="0" xfId="0" applyNumberFormat="1" applyFont="1" applyBorder="1"/>
    <xf numFmtId="0" fontId="17" fillId="0" borderId="33" xfId="0" applyFont="1" applyBorder="1"/>
    <xf numFmtId="44" fontId="18" fillId="6" borderId="34" xfId="2" applyFont="1" applyFill="1" applyBorder="1" applyAlignment="1">
      <alignment horizontal="center" wrapText="1"/>
    </xf>
    <xf numFmtId="44" fontId="18" fillId="6" borderId="33" xfId="2" applyFont="1" applyFill="1" applyBorder="1" applyAlignment="1">
      <alignment horizontal="center" wrapText="1"/>
    </xf>
    <xf numFmtId="0" fontId="0" fillId="6" borderId="6" xfId="0" applyFill="1" applyBorder="1" applyAlignment="1">
      <alignment textRotation="90" wrapText="1"/>
    </xf>
    <xf numFmtId="0" fontId="7" fillId="6" borderId="6" xfId="0" applyFont="1" applyFill="1" applyBorder="1"/>
    <xf numFmtId="0" fontId="7" fillId="6" borderId="6" xfId="0" applyFont="1" applyFill="1" applyBorder="1" applyAlignment="1">
      <alignment wrapText="1"/>
    </xf>
    <xf numFmtId="0" fontId="17" fillId="6" borderId="6" xfId="0" applyFont="1" applyFill="1" applyBorder="1"/>
    <xf numFmtId="4" fontId="17" fillId="6" borderId="33" xfId="0" applyNumberFormat="1" applyFont="1" applyFill="1" applyBorder="1"/>
    <xf numFmtId="4" fontId="17" fillId="6" borderId="6" xfId="0" applyNumberFormat="1" applyFont="1" applyFill="1" applyBorder="1"/>
    <xf numFmtId="4" fontId="17" fillId="6" borderId="35" xfId="0" applyNumberFormat="1" applyFont="1" applyFill="1" applyBorder="1"/>
    <xf numFmtId="0" fontId="0" fillId="0" borderId="37" xfId="0" applyFill="1" applyBorder="1" applyAlignment="1">
      <alignment horizontal="left" vertical="center" wrapText="1"/>
    </xf>
    <xf numFmtId="0" fontId="14" fillId="0" borderId="19" xfId="0" quotePrefix="1" applyFont="1" applyBorder="1"/>
    <xf numFmtId="3" fontId="2" fillId="0" borderId="7" xfId="0" applyNumberFormat="1" applyFont="1" applyBorder="1"/>
    <xf numFmtId="0" fontId="2" fillId="2" borderId="7" xfId="0" applyFont="1" applyFill="1" applyBorder="1" applyAlignment="1">
      <alignment horizontal="center"/>
    </xf>
    <xf numFmtId="4" fontId="17" fillId="0" borderId="39" xfId="0" applyNumberFormat="1" applyFont="1" applyBorder="1"/>
    <xf numFmtId="4" fontId="22" fillId="0" borderId="19" xfId="0" applyNumberFormat="1" applyFont="1" applyBorder="1"/>
    <xf numFmtId="0" fontId="22" fillId="0" borderId="18" xfId="0" applyFont="1" applyBorder="1" applyAlignment="1">
      <alignment wrapText="1"/>
    </xf>
    <xf numFmtId="4" fontId="22" fillId="0" borderId="40" xfId="0" applyNumberFormat="1" applyFont="1" applyBorder="1"/>
    <xf numFmtId="4" fontId="22" fillId="0" borderId="7" xfId="0" applyNumberFormat="1" applyFont="1" applyBorder="1"/>
    <xf numFmtId="4" fontId="22" fillId="0" borderId="18" xfId="0" applyNumberFormat="1" applyFont="1" applyBorder="1"/>
    <xf numFmtId="4" fontId="22" fillId="0" borderId="0" xfId="0" applyNumberFormat="1" applyFont="1" applyBorder="1"/>
    <xf numFmtId="0" fontId="22" fillId="0" borderId="0" xfId="0" applyFont="1"/>
    <xf numFmtId="189" fontId="17" fillId="0" borderId="25" xfId="0" applyNumberFormat="1" applyFont="1" applyBorder="1"/>
    <xf numFmtId="175" fontId="17" fillId="0" borderId="10" xfId="0" applyNumberFormat="1" applyFont="1" applyBorder="1"/>
    <xf numFmtId="175" fontId="17" fillId="0" borderId="3" xfId="0" applyNumberFormat="1" applyFont="1" applyBorder="1"/>
    <xf numFmtId="175" fontId="17" fillId="0" borderId="1" xfId="0" applyNumberFormat="1" applyFont="1" applyBorder="1"/>
    <xf numFmtId="0" fontId="22" fillId="0" borderId="0" xfId="0" applyFont="1" applyBorder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0" fontId="3" fillId="0" borderId="0" xfId="3" applyNumberFormat="1" applyBorder="1" applyAlignment="1">
      <alignment horizontal="right"/>
    </xf>
    <xf numFmtId="10" fontId="3" fillId="0" borderId="0" xfId="3" applyNumberFormat="1" applyAlignment="1">
      <alignment horizontal="right"/>
    </xf>
    <xf numFmtId="0" fontId="0" fillId="0" borderId="19" xfId="0" applyBorder="1"/>
    <xf numFmtId="4" fontId="0" fillId="0" borderId="7" xfId="0" applyNumberFormat="1" applyFill="1" applyBorder="1"/>
    <xf numFmtId="0" fontId="2" fillId="0" borderId="7" xfId="0" applyFont="1" applyBorder="1"/>
    <xf numFmtId="0" fontId="2" fillId="0" borderId="0" xfId="0" applyFont="1" applyBorder="1"/>
    <xf numFmtId="4" fontId="2" fillId="0" borderId="37" xfId="0" applyNumberFormat="1" applyFont="1" applyBorder="1"/>
    <xf numFmtId="4" fontId="2" fillId="0" borderId="37" xfId="0" applyNumberFormat="1" applyFont="1" applyFill="1" applyBorder="1"/>
    <xf numFmtId="0" fontId="0" fillId="0" borderId="7" xfId="0" applyBorder="1"/>
    <xf numFmtId="190" fontId="0" fillId="0" borderId="1" xfId="0" applyNumberFormat="1" applyBorder="1"/>
    <xf numFmtId="191" fontId="2" fillId="2" borderId="1" xfId="0" applyNumberFormat="1" applyFont="1" applyFill="1" applyBorder="1"/>
    <xf numFmtId="192" fontId="2" fillId="2" borderId="1" xfId="0" applyNumberFormat="1" applyFont="1" applyFill="1" applyBorder="1"/>
    <xf numFmtId="193" fontId="17" fillId="0" borderId="25" xfId="0" applyNumberFormat="1" applyFont="1" applyBorder="1"/>
    <xf numFmtId="4" fontId="22" fillId="2" borderId="41" xfId="0" applyNumberFormat="1" applyFont="1" applyFill="1" applyBorder="1"/>
    <xf numFmtId="4" fontId="22" fillId="2" borderId="42" xfId="0" applyNumberFormat="1" applyFont="1" applyFill="1" applyBorder="1"/>
    <xf numFmtId="4" fontId="22" fillId="2" borderId="43" xfId="0" applyNumberFormat="1" applyFont="1" applyFill="1" applyBorder="1"/>
    <xf numFmtId="0" fontId="3" fillId="0" borderId="13" xfId="0" applyFont="1" applyFill="1" applyBorder="1" applyAlignment="1">
      <alignment horizontal="left"/>
    </xf>
    <xf numFmtId="194" fontId="0" fillId="0" borderId="3" xfId="0" applyNumberFormat="1" applyBorder="1"/>
    <xf numFmtId="194" fontId="2" fillId="0" borderId="3" xfId="0" applyNumberFormat="1" applyFont="1" applyBorder="1"/>
    <xf numFmtId="195" fontId="2" fillId="0" borderId="1" xfId="0" applyNumberFormat="1" applyFont="1" applyBorder="1"/>
    <xf numFmtId="195" fontId="3" fillId="0" borderId="1" xfId="0" applyNumberFormat="1" applyFont="1" applyBorder="1"/>
    <xf numFmtId="172" fontId="0" fillId="0" borderId="13" xfId="0" applyNumberFormat="1" applyBorder="1"/>
    <xf numFmtId="4" fontId="17" fillId="0" borderId="14" xfId="0" applyNumberFormat="1" applyFont="1" applyFill="1" applyBorder="1" applyAlignment="1">
      <alignment horizontal="right" vertical="center" wrapText="1"/>
    </xf>
    <xf numFmtId="0" fontId="17" fillId="13" borderId="4" xfId="0" applyFont="1" applyFill="1" applyBorder="1" applyAlignment="1">
      <alignment horizontal="left" vertical="center" wrapText="1"/>
    </xf>
    <xf numFmtId="4" fontId="17" fillId="0" borderId="21" xfId="0" applyNumberFormat="1" applyFont="1" applyBorder="1" applyAlignment="1">
      <alignment horizontal="right" vertical="center" wrapText="1"/>
    </xf>
    <xf numFmtId="0" fontId="17" fillId="4" borderId="4" xfId="0" applyFont="1" applyFill="1" applyBorder="1" applyAlignment="1">
      <alignment horizontal="left" vertical="center"/>
    </xf>
    <xf numFmtId="4" fontId="17" fillId="4" borderId="4" xfId="0" applyNumberFormat="1" applyFont="1" applyFill="1" applyBorder="1" applyAlignment="1">
      <alignment horizontal="right" vertical="center"/>
    </xf>
    <xf numFmtId="4" fontId="17" fillId="4" borderId="28" xfId="0" applyNumberFormat="1" applyFont="1" applyFill="1" applyBorder="1" applyAlignment="1">
      <alignment horizontal="right" vertical="center" wrapText="1"/>
    </xf>
    <xf numFmtId="0" fontId="17" fillId="13" borderId="4" xfId="0" applyFont="1" applyFill="1" applyBorder="1" applyAlignment="1">
      <alignment horizontal="left" vertical="center"/>
    </xf>
    <xf numFmtId="4" fontId="17" fillId="0" borderId="38" xfId="0" applyNumberFormat="1" applyFont="1" applyBorder="1" applyAlignment="1">
      <alignment horizontal="right" vertical="center"/>
    </xf>
    <xf numFmtId="4" fontId="17" fillId="0" borderId="36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7" fillId="13" borderId="21" xfId="0" applyFont="1" applyFill="1" applyBorder="1" applyAlignment="1">
      <alignment horizontal="left" vertical="center"/>
    </xf>
    <xf numFmtId="0" fontId="17" fillId="13" borderId="21" xfId="0" applyFont="1" applyFill="1" applyBorder="1" applyAlignment="1">
      <alignment horizontal="left" vertical="center" wrapText="1"/>
    </xf>
    <xf numFmtId="0" fontId="17" fillId="13" borderId="20" xfId="0" applyFont="1" applyFill="1" applyBorder="1" applyAlignment="1">
      <alignment horizontal="left" vertical="center"/>
    </xf>
    <xf numFmtId="0" fontId="17" fillId="13" borderId="20" xfId="0" applyFont="1" applyFill="1" applyBorder="1" applyAlignment="1">
      <alignment horizontal="left" vertical="center" wrapText="1"/>
    </xf>
    <xf numFmtId="4" fontId="14" fillId="7" borderId="1" xfId="0" applyNumberFormat="1" applyFont="1" applyFill="1" applyBorder="1"/>
    <xf numFmtId="0" fontId="2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4" fillId="0" borderId="4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/>
    </xf>
    <xf numFmtId="0" fontId="22" fillId="2" borderId="15" xfId="0" applyFont="1" applyFill="1" applyBorder="1" applyAlignment="1">
      <alignment horizontal="right"/>
    </xf>
    <xf numFmtId="194" fontId="17" fillId="0" borderId="45" xfId="0" applyNumberFormat="1" applyFont="1" applyBorder="1" applyAlignment="1">
      <alignment horizontal="center" vertical="center"/>
    </xf>
    <xf numFmtId="194" fontId="17" fillId="0" borderId="37" xfId="0" applyNumberFormat="1" applyFont="1" applyBorder="1" applyAlignment="1">
      <alignment horizontal="center" vertical="center"/>
    </xf>
    <xf numFmtId="194" fontId="17" fillId="0" borderId="46" xfId="0" applyNumberFormat="1" applyFont="1" applyBorder="1" applyAlignment="1">
      <alignment horizontal="center" vertical="center"/>
    </xf>
    <xf numFmtId="195" fontId="17" fillId="0" borderId="45" xfId="0" applyNumberFormat="1" applyFont="1" applyBorder="1" applyAlignment="1">
      <alignment horizontal="center" vertical="center"/>
    </xf>
    <xf numFmtId="195" fontId="17" fillId="0" borderId="37" xfId="0" applyNumberFormat="1" applyFont="1" applyBorder="1" applyAlignment="1">
      <alignment horizontal="center" vertical="center"/>
    </xf>
    <xf numFmtId="195" fontId="17" fillId="0" borderId="46" xfId="0" applyNumberFormat="1" applyFont="1" applyBorder="1" applyAlignment="1">
      <alignment horizontal="center" vertical="center"/>
    </xf>
    <xf numFmtId="193" fontId="17" fillId="0" borderId="47" xfId="0" applyNumberFormat="1" applyFont="1" applyBorder="1" applyAlignment="1">
      <alignment horizontal="center" vertical="center"/>
    </xf>
    <xf numFmtId="193" fontId="17" fillId="0" borderId="48" xfId="0" applyNumberFormat="1" applyFont="1" applyBorder="1" applyAlignment="1">
      <alignment horizontal="center" vertical="center"/>
    </xf>
    <xf numFmtId="193" fontId="17" fillId="0" borderId="4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right"/>
    </xf>
    <xf numFmtId="0" fontId="22" fillId="2" borderId="11" xfId="0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1" fillId="4" borderId="53" xfId="0" quotePrefix="1" applyFont="1" applyFill="1" applyBorder="1" applyAlignment="1">
      <alignment horizontal="center" vertical="center" textRotation="180"/>
    </xf>
    <xf numFmtId="0" fontId="21" fillId="4" borderId="54" xfId="0" quotePrefix="1" applyFont="1" applyFill="1" applyBorder="1" applyAlignment="1">
      <alignment horizontal="center" vertical="center" textRotation="180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44" fontId="18" fillId="10" borderId="53" xfId="2" applyFont="1" applyFill="1" applyBorder="1" applyAlignment="1">
      <alignment horizontal="center" wrapText="1"/>
    </xf>
    <xf numFmtId="44" fontId="18" fillId="10" borderId="34" xfId="2" applyFont="1" applyFill="1" applyBorder="1" applyAlignment="1">
      <alignment horizontal="center" wrapText="1"/>
    </xf>
    <xf numFmtId="44" fontId="18" fillId="10" borderId="24" xfId="2" applyFont="1" applyFill="1" applyBorder="1" applyAlignment="1">
      <alignment horizontal="center" wrapText="1"/>
    </xf>
    <xf numFmtId="44" fontId="18" fillId="10" borderId="54" xfId="2" applyFont="1" applyFill="1" applyBorder="1" applyAlignment="1">
      <alignment horizontal="center" wrapText="1"/>
    </xf>
    <xf numFmtId="44" fontId="18" fillId="10" borderId="33" xfId="2" applyFont="1" applyFill="1" applyBorder="1" applyAlignment="1">
      <alignment horizontal="center" wrapText="1"/>
    </xf>
    <xf numFmtId="44" fontId="18" fillId="10" borderId="25" xfId="2" applyFont="1" applyFill="1" applyBorder="1" applyAlignment="1">
      <alignment horizontal="center" wrapText="1"/>
    </xf>
    <xf numFmtId="44" fontId="18" fillId="7" borderId="53" xfId="2" applyFont="1" applyFill="1" applyBorder="1" applyAlignment="1">
      <alignment horizontal="center" wrapText="1"/>
    </xf>
    <xf numFmtId="44" fontId="18" fillId="7" borderId="34" xfId="2" applyFont="1" applyFill="1" applyBorder="1" applyAlignment="1">
      <alignment horizontal="center" wrapText="1"/>
    </xf>
    <xf numFmtId="44" fontId="18" fillId="7" borderId="24" xfId="2" applyFont="1" applyFill="1" applyBorder="1" applyAlignment="1">
      <alignment horizontal="center" wrapText="1"/>
    </xf>
    <xf numFmtId="44" fontId="18" fillId="7" borderId="54" xfId="2" applyFont="1" applyFill="1" applyBorder="1" applyAlignment="1">
      <alignment horizontal="center" wrapText="1"/>
    </xf>
    <xf numFmtId="44" fontId="18" fillId="7" borderId="33" xfId="2" applyFont="1" applyFill="1" applyBorder="1" applyAlignment="1">
      <alignment horizontal="center" wrapText="1"/>
    </xf>
    <xf numFmtId="44" fontId="18" fillId="7" borderId="25" xfId="2" applyFont="1" applyFill="1" applyBorder="1" applyAlignment="1">
      <alignment horizontal="center" wrapText="1"/>
    </xf>
    <xf numFmtId="44" fontId="18" fillId="7" borderId="51" xfId="2" applyFont="1" applyFill="1" applyBorder="1" applyAlignment="1">
      <alignment horizontal="center" wrapText="1"/>
    </xf>
    <xf numFmtId="44" fontId="18" fillId="7" borderId="52" xfId="2" applyFont="1" applyFill="1" applyBorder="1" applyAlignment="1">
      <alignment horizontal="center" wrapText="1"/>
    </xf>
    <xf numFmtId="44" fontId="18" fillId="8" borderId="53" xfId="2" applyFont="1" applyFill="1" applyBorder="1" applyAlignment="1">
      <alignment horizontal="center"/>
    </xf>
    <xf numFmtId="44" fontId="18" fillId="8" borderId="34" xfId="2" applyFont="1" applyFill="1" applyBorder="1" applyAlignment="1">
      <alignment horizontal="center"/>
    </xf>
    <xf numFmtId="44" fontId="18" fillId="8" borderId="54" xfId="2" applyFont="1" applyFill="1" applyBorder="1" applyAlignment="1">
      <alignment horizontal="center"/>
    </xf>
    <xf numFmtId="44" fontId="18" fillId="8" borderId="33" xfId="2" applyFont="1" applyFill="1" applyBorder="1" applyAlignment="1">
      <alignment horizontal="center"/>
    </xf>
    <xf numFmtId="4" fontId="6" fillId="0" borderId="50" xfId="0" applyNumberFormat="1" applyFont="1" applyFill="1" applyBorder="1" applyAlignment="1">
      <alignment horizontal="center" textRotation="180"/>
    </xf>
    <xf numFmtId="4" fontId="6" fillId="0" borderId="43" xfId="0" applyNumberFormat="1" applyFont="1" applyFill="1" applyBorder="1" applyAlignment="1">
      <alignment horizontal="center" textRotation="180"/>
    </xf>
    <xf numFmtId="0" fontId="21" fillId="12" borderId="51" xfId="0" quotePrefix="1" applyFont="1" applyFill="1" applyBorder="1" applyAlignment="1">
      <alignment horizontal="center"/>
    </xf>
    <xf numFmtId="0" fontId="21" fillId="12" borderId="52" xfId="0" quotePrefix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78" fontId="0" fillId="8" borderId="1" xfId="0" applyNumberFormat="1" applyFill="1" applyBorder="1" applyAlignment="1">
      <alignment horizontal="center" textRotation="90"/>
    </xf>
    <xf numFmtId="178" fontId="0" fillId="10" borderId="1" xfId="0" applyNumberFormat="1" applyFill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78" fontId="0" fillId="0" borderId="8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7" borderId="1" xfId="0" applyNumberForma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0" fillId="14" borderId="0" xfId="0" applyFill="1"/>
    <xf numFmtId="0" fontId="17" fillId="14" borderId="0" xfId="0" applyFont="1" applyFill="1"/>
    <xf numFmtId="0" fontId="17" fillId="14" borderId="0" xfId="0" applyFont="1" applyFill="1" applyBorder="1"/>
    <xf numFmtId="4" fontId="17" fillId="14" borderId="0" xfId="0" applyNumberFormat="1" applyFont="1" applyFill="1" applyBorder="1"/>
    <xf numFmtId="4" fontId="17" fillId="14" borderId="0" xfId="0" applyNumberFormat="1" applyFont="1" applyFill="1"/>
    <xf numFmtId="0" fontId="17" fillId="14" borderId="0" xfId="0" applyFont="1" applyFill="1" applyAlignment="1">
      <alignment horizontal="left"/>
    </xf>
    <xf numFmtId="0" fontId="0" fillId="15" borderId="0" xfId="0" applyFill="1"/>
    <xf numFmtId="0" fontId="17" fillId="15" borderId="0" xfId="0" applyFont="1" applyFill="1"/>
    <xf numFmtId="0" fontId="17" fillId="15" borderId="0" xfId="0" applyFont="1" applyFill="1" applyBorder="1"/>
    <xf numFmtId="4" fontId="17" fillId="15" borderId="0" xfId="0" applyNumberFormat="1" applyFont="1" applyFill="1" applyBorder="1"/>
    <xf numFmtId="4" fontId="17" fillId="15" borderId="0" xfId="0" applyNumberFormat="1" applyFont="1" applyFill="1"/>
    <xf numFmtId="0" fontId="17" fillId="15" borderId="0" xfId="0" applyFont="1" applyFill="1" applyAlignment="1">
      <alignment horizontal="left"/>
    </xf>
    <xf numFmtId="196" fontId="14" fillId="7" borderId="8" xfId="0" applyNumberFormat="1" applyFont="1" applyFill="1" applyBorder="1"/>
  </cellXfs>
  <cellStyles count="4">
    <cellStyle name="Euro" xfId="1"/>
    <cellStyle name="Moneda" xfId="2" builtinId="4"/>
    <cellStyle name="Normal" xfId="0" builtinId="0"/>
    <cellStyle name="Porcentaje" xfId="3" builtinId="5"/>
  </cellStyles>
  <dxfs count="6">
    <dxf>
      <font>
        <b val="0"/>
        <i val="0"/>
        <color auto="1"/>
      </font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ro%20costes/Zumolit,%20SA_producci&#243;n%20y%20contabilid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AE/curso%20costes/Material%20curso/Zumolit,%20SA_ABC/Zumolit,%20SA_producci&#243;n%20y%20contabilid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"/>
      <sheetName val="elem incorp"/>
      <sheetName val="horas pers"/>
      <sheetName val="saldos-ABC"/>
      <sheetName val="balance"/>
      <sheetName val="coste produc-ABC"/>
      <sheetName val="prod curso"/>
      <sheetName val="prod term"/>
      <sheetName val="rdo por prod"/>
      <sheetName val="rdo por cliente"/>
      <sheetName val="estándar"/>
    </sheetNames>
    <sheetDataSet>
      <sheetData sheetId="0"/>
      <sheetData sheetId="1"/>
      <sheetData sheetId="2"/>
      <sheetData sheetId="3">
        <row r="4">
          <cell r="B4">
            <v>-26268.082578963473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"/>
      <sheetName val="elem incorp"/>
      <sheetName val="horas pers"/>
      <sheetName val="saldos-ABC"/>
      <sheetName val="balance"/>
      <sheetName val="coste produc-ABC"/>
      <sheetName val="prod curso"/>
      <sheetName val="prod term"/>
      <sheetName val="rdo por prod"/>
      <sheetName val="rdo por cliente"/>
      <sheetName val="estándar"/>
    </sheetNames>
    <sheetDataSet>
      <sheetData sheetId="0"/>
      <sheetData sheetId="1"/>
      <sheetData sheetId="2"/>
      <sheetData sheetId="3">
        <row r="4">
          <cell r="B4">
            <v>-26268.082578963473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90" zoomScaleNormal="90" workbookViewId="0">
      <selection activeCell="B14" sqref="B14"/>
    </sheetView>
  </sheetViews>
  <sheetFormatPr baseColWidth="10" defaultRowHeight="129.75" customHeight="1"/>
  <cols>
    <col min="1" max="1" width="85.42578125" style="3" customWidth="1"/>
    <col min="2" max="2" width="74.7109375" style="3" customWidth="1"/>
    <col min="3" max="16384" width="11.42578125" style="3"/>
  </cols>
  <sheetData>
    <row r="1" spans="1:3" ht="29.25" customHeight="1">
      <c r="A1" s="276" t="s">
        <v>180</v>
      </c>
      <c r="B1" s="276"/>
    </row>
    <row r="2" spans="1:3" ht="42" customHeight="1">
      <c r="A2" s="275" t="s">
        <v>181</v>
      </c>
      <c r="B2" s="275"/>
    </row>
    <row r="3" spans="1:3" ht="22.5" customHeight="1">
      <c r="A3" s="267"/>
      <c r="B3" s="267"/>
    </row>
    <row r="4" spans="1:3" ht="22.5" customHeight="1">
      <c r="A4" s="275" t="s">
        <v>182</v>
      </c>
      <c r="B4" s="275"/>
    </row>
    <row r="5" spans="1:3" ht="23.25" customHeight="1">
      <c r="A5" s="277" t="s">
        <v>183</v>
      </c>
      <c r="B5" s="277"/>
    </row>
    <row r="6" spans="1:3" ht="22.5" customHeight="1">
      <c r="A6" s="277" t="s">
        <v>184</v>
      </c>
      <c r="B6" s="277"/>
    </row>
    <row r="7" spans="1:3" ht="24.75" customHeight="1">
      <c r="A7" s="268" t="s">
        <v>185</v>
      </c>
      <c r="B7" s="4"/>
    </row>
    <row r="8" spans="1:3" ht="24.75" customHeight="1">
      <c r="A8" s="268" t="s">
        <v>186</v>
      </c>
      <c r="B8" s="4"/>
    </row>
    <row r="9" spans="1:3" ht="24.75" customHeight="1">
      <c r="A9" s="268" t="s">
        <v>187</v>
      </c>
      <c r="B9" s="4"/>
    </row>
    <row r="10" spans="1:3" ht="24.75" customHeight="1">
      <c r="A10" s="5" t="s">
        <v>188</v>
      </c>
      <c r="B10" s="4"/>
    </row>
    <row r="11" spans="1:3" ht="29.25" customHeight="1">
      <c r="A11" s="275" t="s">
        <v>189</v>
      </c>
      <c r="B11" s="275"/>
    </row>
    <row r="12" spans="1:3" ht="29.25" customHeight="1">
      <c r="A12" s="275"/>
      <c r="B12" s="275"/>
    </row>
    <row r="13" spans="1:3" ht="21.75" customHeight="1">
      <c r="A13" s="274" t="s">
        <v>190</v>
      </c>
    </row>
    <row r="14" spans="1:3" ht="21.75" customHeight="1">
      <c r="A14" s="274" t="s">
        <v>191</v>
      </c>
    </row>
    <row r="15" spans="1:3" ht="21.75" customHeight="1">
      <c r="A15" s="274" t="s">
        <v>192</v>
      </c>
      <c r="C15" s="4"/>
    </row>
    <row r="16" spans="1:3" ht="21.75" customHeight="1">
      <c r="A16" s="274" t="s">
        <v>193</v>
      </c>
    </row>
    <row r="17" spans="1:2" ht="18.75">
      <c r="A17" s="274" t="s">
        <v>194</v>
      </c>
      <c r="B17" s="6"/>
    </row>
    <row r="18" spans="1:2" ht="24.75" customHeight="1">
      <c r="A18" s="7"/>
      <c r="B18" s="6"/>
    </row>
    <row r="19" spans="1:2" ht="24.75" customHeight="1">
      <c r="A19" s="7"/>
      <c r="B19" s="6"/>
    </row>
    <row r="20" spans="1:2" ht="32.25" customHeight="1">
      <c r="A20" s="275"/>
      <c r="B20" s="275"/>
    </row>
  </sheetData>
  <sheetProtection selectLockedCells="1" selectUnlockedCells="1"/>
  <mergeCells count="8">
    <mergeCell ref="A12:B12"/>
    <mergeCell ref="A20:B20"/>
    <mergeCell ref="A1:B1"/>
    <mergeCell ref="A2:B2"/>
    <mergeCell ref="A4:B4"/>
    <mergeCell ref="A11:B11"/>
    <mergeCell ref="A5:B5"/>
    <mergeCell ref="A6:B6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7"/>
  <sheetViews>
    <sheetView tabSelected="1" zoomScaleNormal="10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B4" sqref="B4"/>
    </sheetView>
  </sheetViews>
  <sheetFormatPr baseColWidth="10" defaultRowHeight="12.75"/>
  <cols>
    <col min="1" max="1" width="11.28515625" customWidth="1"/>
    <col min="2" max="2" width="32.42578125" customWidth="1"/>
    <col min="3" max="3" width="10.85546875" style="161" customWidth="1"/>
    <col min="4" max="4" width="9.7109375" style="176" customWidth="1"/>
    <col min="5" max="5" width="9.85546875" style="169" bestFit="1" customWidth="1"/>
    <col min="6" max="8" width="8.85546875" style="169" bestFit="1" customWidth="1"/>
    <col min="9" max="9" width="9.28515625" style="169" bestFit="1" customWidth="1"/>
    <col min="10" max="11" width="11.28515625" style="169" bestFit="1" customWidth="1"/>
    <col min="12" max="12" width="9.42578125" style="161" bestFit="1" customWidth="1"/>
    <col min="13" max="14" width="7.85546875" style="161" bestFit="1" customWidth="1"/>
    <col min="15" max="15" width="9.42578125" style="161" bestFit="1" customWidth="1"/>
    <col min="16" max="16" width="10.85546875" style="161" customWidth="1"/>
    <col min="17" max="17" width="7.85546875" style="161" bestFit="1" customWidth="1"/>
    <col min="18" max="18" width="10.7109375" style="161" bestFit="1" customWidth="1"/>
    <col min="19" max="19" width="2.42578125" style="161" customWidth="1"/>
    <col min="20" max="20" width="13.42578125" style="169" customWidth="1"/>
    <col min="21" max="21" width="10.85546875" style="169" customWidth="1"/>
    <col min="22" max="22" width="10.7109375" style="169" customWidth="1"/>
    <col min="23" max="26" width="8" style="169" customWidth="1"/>
    <col min="27" max="33" width="8" style="161" customWidth="1"/>
    <col min="34" max="16384" width="11.42578125" style="161"/>
  </cols>
  <sheetData>
    <row r="1" spans="1:33" s="9" customFormat="1" ht="18.75" customHeight="1">
      <c r="A1" s="299" t="str">
        <f>IF(ABS(SUM(D54:D113)-SUM(E114:R114))&lt;0.0001,":)",":(")</f>
        <v>:)</v>
      </c>
      <c r="B1" s="323" t="s">
        <v>15</v>
      </c>
      <c r="C1" s="321" t="str">
        <f>IF(ABS(SALDOPYG+'rdo por cliente'!C33)&lt;0.0000001,":)",":(")</f>
        <v>:)</v>
      </c>
      <c r="D1" s="301" t="s">
        <v>16</v>
      </c>
      <c r="E1" s="317" t="s">
        <v>17</v>
      </c>
      <c r="F1" s="318"/>
      <c r="G1" s="318"/>
      <c r="H1" s="318"/>
      <c r="I1" s="318"/>
      <c r="J1" s="318"/>
      <c r="K1" s="318"/>
      <c r="L1" s="303" t="s">
        <v>18</v>
      </c>
      <c r="M1" s="304"/>
      <c r="N1" s="305"/>
      <c r="O1" s="309" t="s">
        <v>19</v>
      </c>
      <c r="P1" s="310"/>
      <c r="Q1" s="310"/>
      <c r="R1" s="315"/>
      <c r="S1" s="208"/>
      <c r="T1" s="318" t="s">
        <v>17</v>
      </c>
      <c r="U1" s="318"/>
      <c r="V1" s="318"/>
      <c r="W1" s="318"/>
      <c r="X1" s="318"/>
      <c r="Y1" s="318"/>
      <c r="Z1" s="318"/>
      <c r="AA1" s="303" t="s">
        <v>18</v>
      </c>
      <c r="AB1" s="304"/>
      <c r="AC1" s="305"/>
      <c r="AD1" s="309" t="s">
        <v>19</v>
      </c>
      <c r="AE1" s="310"/>
      <c r="AF1" s="310"/>
      <c r="AG1" s="311"/>
    </row>
    <row r="2" spans="1:33" s="9" customFormat="1" ht="19.5" customHeight="1" thickBot="1">
      <c r="A2" s="300" t="e">
        <f>IF(ABS(SUM(#REF!)-SUM(C1:P1))&lt;0.00001,":)",":(")</f>
        <v>#REF!</v>
      </c>
      <c r="B2" s="324"/>
      <c r="C2" s="322"/>
      <c r="D2" s="302"/>
      <c r="E2" s="319"/>
      <c r="F2" s="320"/>
      <c r="G2" s="320"/>
      <c r="H2" s="320"/>
      <c r="I2" s="320"/>
      <c r="J2" s="320"/>
      <c r="K2" s="320"/>
      <c r="L2" s="306"/>
      <c r="M2" s="307"/>
      <c r="N2" s="308"/>
      <c r="O2" s="312"/>
      <c r="P2" s="313"/>
      <c r="Q2" s="313"/>
      <c r="R2" s="316"/>
      <c r="S2" s="209"/>
      <c r="T2" s="320"/>
      <c r="U2" s="320"/>
      <c r="V2" s="320"/>
      <c r="W2" s="320"/>
      <c r="X2" s="320"/>
      <c r="Y2" s="320"/>
      <c r="Z2" s="320"/>
      <c r="AA2" s="306"/>
      <c r="AB2" s="307"/>
      <c r="AC2" s="308"/>
      <c r="AD2" s="312"/>
      <c r="AE2" s="313"/>
      <c r="AF2" s="313"/>
      <c r="AG2" s="314"/>
    </row>
    <row r="3" spans="1:33" s="11" customFormat="1" ht="86.25" customHeight="1" thickBot="1">
      <c r="A3" s="278" t="s">
        <v>127</v>
      </c>
      <c r="B3" s="279"/>
      <c r="C3" s="280"/>
      <c r="D3" s="10" t="s">
        <v>20</v>
      </c>
      <c r="E3" s="147" t="s">
        <v>173</v>
      </c>
      <c r="F3" s="148" t="s">
        <v>174</v>
      </c>
      <c r="G3" s="147" t="s">
        <v>175</v>
      </c>
      <c r="H3" s="149" t="s">
        <v>176</v>
      </c>
      <c r="I3" s="149" t="s">
        <v>177</v>
      </c>
      <c r="J3" s="149" t="s">
        <v>178</v>
      </c>
      <c r="K3" s="149" t="s">
        <v>179</v>
      </c>
      <c r="L3" s="151" t="s">
        <v>21</v>
      </c>
      <c r="M3" s="151" t="s">
        <v>122</v>
      </c>
      <c r="N3" s="151" t="s">
        <v>121</v>
      </c>
      <c r="O3" s="153" t="s">
        <v>22</v>
      </c>
      <c r="P3" s="153" t="s">
        <v>23</v>
      </c>
      <c r="Q3" s="153" t="s">
        <v>24</v>
      </c>
      <c r="R3" s="197" t="s">
        <v>25</v>
      </c>
      <c r="S3" s="210"/>
      <c r="T3" s="192" t="str">
        <f t="shared" ref="T3:AG5" si="0">E3</f>
        <v>1. Mezclado</v>
      </c>
      <c r="U3" s="147" t="str">
        <f t="shared" si="0"/>
        <v>2. Ebullición</v>
      </c>
      <c r="V3" s="147" t="str">
        <f t="shared" si="0"/>
        <v>3. Flitrado</v>
      </c>
      <c r="W3" s="147" t="str">
        <f t="shared" si="0"/>
        <v>4. Fermentación</v>
      </c>
      <c r="X3" s="147" t="str">
        <f t="shared" si="0"/>
        <v>5. Evaporación del alcohol</v>
      </c>
      <c r="Y3" s="147" t="str">
        <f t="shared" si="0"/>
        <v>6a. Enlatado</v>
      </c>
      <c r="Z3" s="147" t="str">
        <f t="shared" si="0"/>
        <v>6b. Embotellado</v>
      </c>
      <c r="AA3" s="156" t="str">
        <f t="shared" si="0"/>
        <v>1. Gerencia</v>
      </c>
      <c r="AB3" s="156" t="str">
        <f t="shared" si="0"/>
        <v>2. Contab./fiscal</v>
      </c>
      <c r="AC3" s="156" t="str">
        <f t="shared" si="0"/>
        <v>3. Limpieza</v>
      </c>
      <c r="AD3" s="158" t="str">
        <f t="shared" si="0"/>
        <v>1. Gestión clientes</v>
      </c>
      <c r="AE3" s="158" t="str">
        <f t="shared" si="0"/>
        <v>2. Promociones</v>
      </c>
      <c r="AF3" s="158" t="str">
        <f t="shared" si="0"/>
        <v xml:space="preserve">  3. Publicidad</v>
      </c>
      <c r="AG3" s="158" t="str">
        <f t="shared" si="0"/>
        <v>4. Distribución</v>
      </c>
    </row>
    <row r="4" spans="1:33" s="9" customFormat="1" ht="30" customHeight="1" thickBot="1">
      <c r="A4" s="273"/>
      <c r="B4" s="377">
        <f>SUM(C54:C113)</f>
        <v>-14850.00410571972</v>
      </c>
      <c r="C4" s="160" t="str">
        <f>IF(ABS(SUM(C6:C113))&lt;0.01,":)",":(")</f>
        <v>:)</v>
      </c>
      <c r="D4" s="12" t="s">
        <v>26</v>
      </c>
      <c r="E4" s="150" t="s">
        <v>27</v>
      </c>
      <c r="F4" s="150" t="s">
        <v>27</v>
      </c>
      <c r="G4" s="150" t="s">
        <v>27</v>
      </c>
      <c r="H4" s="150" t="s">
        <v>27</v>
      </c>
      <c r="I4" s="150" t="s">
        <v>28</v>
      </c>
      <c r="J4" s="150" t="s">
        <v>28</v>
      </c>
      <c r="K4" s="150" t="s">
        <v>28</v>
      </c>
      <c r="L4" s="152" t="s">
        <v>30</v>
      </c>
      <c r="M4" s="152" t="s">
        <v>30</v>
      </c>
      <c r="N4" s="152" t="s">
        <v>30</v>
      </c>
      <c r="O4" s="154" t="s">
        <v>29</v>
      </c>
      <c r="P4" s="154" t="s">
        <v>29</v>
      </c>
      <c r="Q4" s="154" t="s">
        <v>30</v>
      </c>
      <c r="R4" s="198" t="s">
        <v>29</v>
      </c>
      <c r="S4" s="211"/>
      <c r="T4" s="193" t="str">
        <f t="shared" si="0"/>
        <v>Lote</v>
      </c>
      <c r="U4" s="150" t="str">
        <f t="shared" si="0"/>
        <v>Lote</v>
      </c>
      <c r="V4" s="150" t="str">
        <f t="shared" si="0"/>
        <v>Lote</v>
      </c>
      <c r="W4" s="150" t="str">
        <f t="shared" si="0"/>
        <v>Lote</v>
      </c>
      <c r="X4" s="150" t="str">
        <f t="shared" si="0"/>
        <v>Unidad</v>
      </c>
      <c r="Y4" s="150" t="str">
        <f t="shared" si="0"/>
        <v>Unidad</v>
      </c>
      <c r="Z4" s="150" t="str">
        <f t="shared" si="0"/>
        <v>Unidad</v>
      </c>
      <c r="AA4" s="157" t="str">
        <f t="shared" si="0"/>
        <v>Empresa</v>
      </c>
      <c r="AB4" s="157" t="str">
        <f t="shared" si="0"/>
        <v>Empresa</v>
      </c>
      <c r="AC4" s="157" t="str">
        <f t="shared" si="0"/>
        <v>Empresa</v>
      </c>
      <c r="AD4" s="159" t="str">
        <f t="shared" si="0"/>
        <v>Cliente</v>
      </c>
      <c r="AE4" s="159" t="str">
        <f t="shared" si="0"/>
        <v>Cliente</v>
      </c>
      <c r="AF4" s="159" t="str">
        <f t="shared" si="0"/>
        <v>Empresa</v>
      </c>
      <c r="AG4" s="159" t="str">
        <f t="shared" si="0"/>
        <v>Cliente</v>
      </c>
    </row>
    <row r="5" spans="1:33" s="11" customFormat="1" ht="34.5" customHeight="1">
      <c r="A5" s="13" t="s">
        <v>0</v>
      </c>
      <c r="B5" s="14" t="s">
        <v>1</v>
      </c>
      <c r="C5" s="15" t="s">
        <v>2</v>
      </c>
      <c r="D5" s="10" t="s">
        <v>31</v>
      </c>
      <c r="E5" s="150" t="s">
        <v>101</v>
      </c>
      <c r="F5" s="150" t="s">
        <v>101</v>
      </c>
      <c r="G5" s="150" t="s">
        <v>101</v>
      </c>
      <c r="H5" s="150" t="s">
        <v>101</v>
      </c>
      <c r="I5" s="150" t="s">
        <v>120</v>
      </c>
      <c r="J5" s="150" t="s">
        <v>102</v>
      </c>
      <c r="K5" s="150" t="s">
        <v>102</v>
      </c>
      <c r="L5" s="152" t="s">
        <v>32</v>
      </c>
      <c r="M5" s="152" t="s">
        <v>32</v>
      </c>
      <c r="N5" s="152" t="s">
        <v>32</v>
      </c>
      <c r="O5" s="155" t="s">
        <v>33</v>
      </c>
      <c r="P5" s="155" t="s">
        <v>103</v>
      </c>
      <c r="Q5" s="155" t="s">
        <v>32</v>
      </c>
      <c r="R5" s="199" t="s">
        <v>124</v>
      </c>
      <c r="S5" s="212"/>
      <c r="T5" s="193" t="str">
        <f t="shared" si="0"/>
        <v>Nº lotes</v>
      </c>
      <c r="U5" s="150" t="str">
        <f t="shared" si="0"/>
        <v>Nº lotes</v>
      </c>
      <c r="V5" s="150" t="str">
        <f t="shared" si="0"/>
        <v>Nº lotes</v>
      </c>
      <c r="W5" s="150" t="str">
        <f t="shared" si="0"/>
        <v>Nº lotes</v>
      </c>
      <c r="X5" s="150" t="str">
        <f t="shared" si="0"/>
        <v>Nº litros procesados</v>
      </c>
      <c r="Y5" s="150" t="str">
        <f t="shared" si="0"/>
        <v>Nº uds envasadas</v>
      </c>
      <c r="Z5" s="150" t="str">
        <f t="shared" si="0"/>
        <v>Nº uds envasadas</v>
      </c>
      <c r="AA5" s="157" t="str">
        <f t="shared" si="0"/>
        <v>---</v>
      </c>
      <c r="AB5" s="157" t="str">
        <f t="shared" si="0"/>
        <v>---</v>
      </c>
      <c r="AC5" s="157" t="str">
        <f t="shared" si="0"/>
        <v>---</v>
      </c>
      <c r="AD5" s="159" t="str">
        <f t="shared" si="0"/>
        <v>Visitas clientes</v>
      </c>
      <c r="AE5" s="159" t="str">
        <f t="shared" si="0"/>
        <v>Nº promoc./cliente</v>
      </c>
      <c r="AF5" s="159" t="str">
        <f t="shared" si="0"/>
        <v>---</v>
      </c>
      <c r="AG5" s="159" t="str">
        <f t="shared" si="0"/>
        <v>Nº litros entregados/cliente</v>
      </c>
    </row>
    <row r="6" spans="1:33" ht="12">
      <c r="A6" s="131">
        <v>1000000001</v>
      </c>
      <c r="B6" s="132" t="s">
        <v>3</v>
      </c>
      <c r="C6" s="142">
        <v>-350000</v>
      </c>
      <c r="D6" s="181"/>
      <c r="E6" s="177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200"/>
      <c r="S6" s="213"/>
      <c r="T6" s="177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</row>
    <row r="7" spans="1:33" ht="12">
      <c r="A7" s="131">
        <v>1130000001</v>
      </c>
      <c r="B7" s="132" t="s">
        <v>130</v>
      </c>
      <c r="C7" s="142">
        <v>-24397</v>
      </c>
      <c r="D7" s="258"/>
      <c r="E7" s="177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200"/>
      <c r="S7" s="213"/>
      <c r="T7" s="177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33" ht="12">
      <c r="A8" s="131">
        <v>1700006314</v>
      </c>
      <c r="B8" s="132" t="s">
        <v>132</v>
      </c>
      <c r="C8" s="142">
        <v>-350000</v>
      </c>
      <c r="D8" s="182"/>
      <c r="E8" s="179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200"/>
      <c r="S8" s="213"/>
      <c r="T8" s="179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</row>
    <row r="9" spans="1:33" ht="12">
      <c r="A9" s="264">
        <v>2030000001</v>
      </c>
      <c r="B9" s="264" t="s">
        <v>133</v>
      </c>
      <c r="C9" s="143">
        <v>18000</v>
      </c>
      <c r="D9" s="182"/>
      <c r="E9" s="178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201"/>
      <c r="S9" s="214"/>
      <c r="T9" s="178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</row>
    <row r="10" spans="1:33" ht="14.25" customHeight="1">
      <c r="A10" s="264">
        <v>2030000002</v>
      </c>
      <c r="B10" s="264" t="s">
        <v>134</v>
      </c>
      <c r="C10" s="143">
        <v>15000</v>
      </c>
      <c r="D10" s="183"/>
      <c r="E10" s="177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202"/>
      <c r="S10" s="215"/>
      <c r="T10" s="177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</row>
    <row r="11" spans="1:33" ht="12.75" customHeight="1">
      <c r="A11" s="264">
        <v>2100000001</v>
      </c>
      <c r="B11" s="264" t="s">
        <v>42</v>
      </c>
      <c r="C11" s="143">
        <v>130000</v>
      </c>
      <c r="D11" s="183"/>
      <c r="E11" s="177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202"/>
      <c r="S11" s="215"/>
      <c r="T11" s="177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</row>
    <row r="12" spans="1:33" ht="13.5" customHeight="1">
      <c r="A12" s="264">
        <v>2110000001</v>
      </c>
      <c r="B12" s="264" t="s">
        <v>43</v>
      </c>
      <c r="C12" s="143">
        <v>400000</v>
      </c>
      <c r="D12" s="183"/>
      <c r="E12" s="177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202"/>
      <c r="S12" s="215"/>
      <c r="T12" s="177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spans="1:33" ht="12">
      <c r="A13" s="264">
        <v>2130000001</v>
      </c>
      <c r="B13" s="264" t="s">
        <v>156</v>
      </c>
      <c r="C13" s="143">
        <v>80000</v>
      </c>
      <c r="D13" s="184"/>
      <c r="E13" s="177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202"/>
      <c r="S13" s="215"/>
      <c r="T13" s="177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</row>
    <row r="14" spans="1:33" ht="12">
      <c r="A14" s="264">
        <v>2130000002</v>
      </c>
      <c r="B14" s="264" t="s">
        <v>147</v>
      </c>
      <c r="C14" s="143">
        <v>64000</v>
      </c>
      <c r="D14" s="184"/>
      <c r="E14" s="177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202"/>
      <c r="S14" s="215"/>
      <c r="T14" s="177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</row>
    <row r="15" spans="1:33" ht="12">
      <c r="A15" s="264">
        <v>2130000003</v>
      </c>
      <c r="B15" s="264" t="s">
        <v>148</v>
      </c>
      <c r="C15" s="143">
        <v>48000</v>
      </c>
      <c r="D15" s="184"/>
      <c r="E15" s="177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202"/>
      <c r="S15" s="215"/>
      <c r="T15" s="177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</row>
    <row r="16" spans="1:33" ht="12">
      <c r="A16" s="264">
        <v>2130000004</v>
      </c>
      <c r="B16" s="264" t="s">
        <v>149</v>
      </c>
      <c r="C16" s="143">
        <v>36000</v>
      </c>
      <c r="D16" s="184"/>
      <c r="E16" s="177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202"/>
      <c r="S16" s="215"/>
      <c r="T16" s="177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</row>
    <row r="17" spans="1:33" ht="12">
      <c r="A17" s="264">
        <v>2130000005</v>
      </c>
      <c r="B17" s="264" t="s">
        <v>150</v>
      </c>
      <c r="C17" s="143">
        <v>32000</v>
      </c>
      <c r="D17" s="184"/>
      <c r="E17" s="177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202"/>
      <c r="S17" s="215"/>
      <c r="T17" s="177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</row>
    <row r="18" spans="1:33" ht="12">
      <c r="A18" s="264">
        <v>2130000006</v>
      </c>
      <c r="B18" s="264" t="s">
        <v>151</v>
      </c>
      <c r="C18" s="143">
        <v>68000</v>
      </c>
      <c r="D18" s="184"/>
      <c r="E18" s="177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202"/>
      <c r="S18" s="215"/>
      <c r="T18" s="177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</row>
    <row r="19" spans="1:33" ht="12">
      <c r="A19" s="264">
        <v>2130000007</v>
      </c>
      <c r="B19" s="264" t="s">
        <v>152</v>
      </c>
      <c r="C19" s="143">
        <v>19500</v>
      </c>
      <c r="D19" s="184"/>
      <c r="E19" s="177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202"/>
      <c r="S19" s="215"/>
      <c r="T19" s="177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</row>
    <row r="20" spans="1:33" ht="12">
      <c r="A20" s="264">
        <v>2130000008</v>
      </c>
      <c r="B20" s="264" t="s">
        <v>153</v>
      </c>
      <c r="C20" s="143">
        <v>47000</v>
      </c>
      <c r="D20" s="184"/>
      <c r="E20" s="177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202"/>
      <c r="S20" s="215"/>
      <c r="T20" s="177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</row>
    <row r="21" spans="1:33" ht="12">
      <c r="A21" s="264">
        <v>2130000009</v>
      </c>
      <c r="B21" s="264" t="s">
        <v>154</v>
      </c>
      <c r="C21" s="143">
        <v>23400</v>
      </c>
      <c r="D21" s="184"/>
      <c r="E21" s="177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202"/>
      <c r="S21" s="215"/>
      <c r="T21" s="177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</row>
    <row r="22" spans="1:33" ht="12">
      <c r="A22" s="264">
        <v>2130000010</v>
      </c>
      <c r="B22" s="264" t="s">
        <v>155</v>
      </c>
      <c r="C22" s="143">
        <v>81400</v>
      </c>
      <c r="D22" s="183"/>
      <c r="E22" s="177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202"/>
      <c r="S22" s="215"/>
      <c r="T22" s="177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</row>
    <row r="23" spans="1:33" ht="12">
      <c r="A23" s="264">
        <v>2803020301</v>
      </c>
      <c r="B23" s="264" t="s">
        <v>133</v>
      </c>
      <c r="C23" s="143">
        <f>-C9*0.2</f>
        <v>-3600</v>
      </c>
      <c r="D23" s="183"/>
      <c r="E23" s="177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202"/>
      <c r="S23" s="215"/>
      <c r="T23" s="177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</row>
    <row r="24" spans="1:33" ht="13.5" customHeight="1">
      <c r="A24" s="264">
        <v>2803020302</v>
      </c>
      <c r="B24" s="264" t="s">
        <v>134</v>
      </c>
      <c r="C24" s="143">
        <f>-C10*0.2</f>
        <v>-3000</v>
      </c>
      <c r="D24" s="183"/>
      <c r="E24" s="177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202"/>
      <c r="S24" s="215"/>
      <c r="T24" s="177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</row>
    <row r="25" spans="1:33" ht="13.5" customHeight="1">
      <c r="A25" s="264">
        <v>2811021101</v>
      </c>
      <c r="B25" s="264" t="s">
        <v>43</v>
      </c>
      <c r="C25" s="143">
        <f t="shared" ref="C25:C32" si="1">-C12*0.2</f>
        <v>-80000</v>
      </c>
      <c r="D25" s="183"/>
      <c r="E25" s="177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202"/>
      <c r="S25" s="215"/>
      <c r="T25" s="177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</row>
    <row r="26" spans="1:33" ht="13.5" customHeight="1">
      <c r="A26" s="264" t="str">
        <f t="shared" ref="A26:A32" si="2">CONCATENATE(28130213,MID(A13,9,2))</f>
        <v>2813021301</v>
      </c>
      <c r="B26" s="264" t="str">
        <f t="shared" ref="B26:B35" si="3">+B13</f>
        <v>TANQUE AGUA CALIENTE</v>
      </c>
      <c r="C26" s="143">
        <f t="shared" si="1"/>
        <v>-16000</v>
      </c>
      <c r="D26" s="183"/>
      <c r="E26" s="177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202"/>
      <c r="S26" s="215"/>
      <c r="T26" s="177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</row>
    <row r="27" spans="1:33" ht="13.5" customHeight="1">
      <c r="A27" s="264" t="str">
        <f t="shared" si="2"/>
        <v>2813021302</v>
      </c>
      <c r="B27" s="264" t="str">
        <f t="shared" si="3"/>
        <v>TANQUE DE MEZCLADO</v>
      </c>
      <c r="C27" s="143">
        <f t="shared" si="1"/>
        <v>-12800</v>
      </c>
      <c r="D27" s="183"/>
      <c r="E27" s="177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202"/>
      <c r="S27" s="215"/>
      <c r="T27" s="177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1:33" ht="13.5" customHeight="1">
      <c r="A28" s="264" t="str">
        <f t="shared" si="2"/>
        <v>2813021303</v>
      </c>
      <c r="B28" s="264" t="str">
        <f t="shared" si="3"/>
        <v>TANQUE EBULLICIÓN</v>
      </c>
      <c r="C28" s="143">
        <f t="shared" si="1"/>
        <v>-9600</v>
      </c>
      <c r="D28" s="183"/>
      <c r="E28" s="177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202"/>
      <c r="S28" s="215"/>
      <c r="T28" s="177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</row>
    <row r="29" spans="1:33" ht="13.5" customHeight="1">
      <c r="A29" s="264" t="str">
        <f t="shared" si="2"/>
        <v>2813021304</v>
      </c>
      <c r="B29" s="264" t="str">
        <f t="shared" si="3"/>
        <v>CUBA DE LÚPULO</v>
      </c>
      <c r="C29" s="143">
        <f t="shared" si="1"/>
        <v>-7200</v>
      </c>
      <c r="D29" s="183"/>
      <c r="E29" s="177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202"/>
      <c r="S29" s="215"/>
      <c r="T29" s="177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</row>
    <row r="30" spans="1:33" ht="13.5" customHeight="1">
      <c r="A30" s="264" t="str">
        <f t="shared" si="2"/>
        <v>2813021305</v>
      </c>
      <c r="B30" s="264" t="str">
        <f t="shared" si="3"/>
        <v>INTERCAMBIADOR DE CALOR</v>
      </c>
      <c r="C30" s="143">
        <f t="shared" si="1"/>
        <v>-6400</v>
      </c>
      <c r="D30" s="183"/>
      <c r="E30" s="177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202"/>
      <c r="S30" s="215"/>
      <c r="T30" s="177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</row>
    <row r="31" spans="1:33" ht="13.5" customHeight="1">
      <c r="A31" s="264" t="str">
        <f t="shared" si="2"/>
        <v>2813021306</v>
      </c>
      <c r="B31" s="264" t="str">
        <f t="shared" si="3"/>
        <v>TANQUE DE FERMENTACIÓN</v>
      </c>
      <c r="C31" s="143">
        <f t="shared" si="1"/>
        <v>-13600</v>
      </c>
      <c r="D31" s="183"/>
      <c r="E31" s="177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202"/>
      <c r="S31" s="215"/>
      <c r="T31" s="177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</row>
    <row r="32" spans="1:33" ht="13.5" customHeight="1">
      <c r="A32" s="264" t="str">
        <f t="shared" si="2"/>
        <v>2813021307</v>
      </c>
      <c r="B32" s="264" t="str">
        <f t="shared" si="3"/>
        <v>TANQUE DE VACÍO</v>
      </c>
      <c r="C32" s="143">
        <f t="shared" si="1"/>
        <v>-3900</v>
      </c>
      <c r="D32" s="183"/>
      <c r="E32" s="177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202"/>
      <c r="S32" s="215"/>
      <c r="T32" s="177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</row>
    <row r="33" spans="1:33" ht="13.5" customHeight="1">
      <c r="A33" s="264" t="str">
        <f>CONCATENATE(28130213,MID(A20,9,2))</f>
        <v>2813021308</v>
      </c>
      <c r="B33" s="264" t="str">
        <f t="shared" si="3"/>
        <v>TUBERÍAS</v>
      </c>
      <c r="C33" s="143">
        <f>-C20*0.2</f>
        <v>-9400</v>
      </c>
      <c r="D33" s="183"/>
      <c r="E33" s="177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202"/>
      <c r="S33" s="215"/>
      <c r="T33" s="177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</row>
    <row r="34" spans="1:33" ht="13.5" customHeight="1">
      <c r="A34" s="264" t="str">
        <f>CONCATENATE(28130213,MID(A21,9,2))</f>
        <v>2813021309</v>
      </c>
      <c r="B34" s="264" t="str">
        <f t="shared" si="3"/>
        <v>EMBOTELLADORA ( BOTELLAS 1 L.)</v>
      </c>
      <c r="C34" s="143">
        <f>-C21*0.2</f>
        <v>-4680</v>
      </c>
      <c r="D34" s="183"/>
      <c r="E34" s="177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202"/>
      <c r="S34" s="215"/>
      <c r="T34" s="177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</row>
    <row r="35" spans="1:33" ht="13.5" customHeight="1">
      <c r="A35" s="264" t="str">
        <f>CONCATENATE(28130213,MID(A22,9,2))</f>
        <v>2813021310</v>
      </c>
      <c r="B35" s="264" t="str">
        <f t="shared" si="3"/>
        <v>ENLATADORA (LATAS 33 CL.)</v>
      </c>
      <c r="C35" s="143">
        <v>-16280</v>
      </c>
      <c r="D35" s="183"/>
      <c r="E35" s="177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202"/>
      <c r="S35" s="215"/>
      <c r="T35" s="177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</row>
    <row r="36" spans="1:33" ht="13.5" customHeight="1">
      <c r="A36" s="264">
        <v>3100000001</v>
      </c>
      <c r="B36" s="270" t="s">
        <v>161</v>
      </c>
      <c r="C36" s="143">
        <f>+'MP, envases y producción'!D13</f>
        <v>1582.4686096654275</v>
      </c>
      <c r="D36" s="183"/>
      <c r="E36" s="177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202"/>
      <c r="S36" s="215"/>
      <c r="T36" s="177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</row>
    <row r="37" spans="1:33" ht="13.5" customHeight="1">
      <c r="A37" s="264">
        <v>3100000002</v>
      </c>
      <c r="B37" s="270" t="s">
        <v>162</v>
      </c>
      <c r="C37" s="143">
        <f>+'MP, envases y producción'!D19</f>
        <v>5557.1043633125564</v>
      </c>
      <c r="D37" s="183"/>
      <c r="E37" s="177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202"/>
      <c r="S37" s="215"/>
      <c r="T37" s="177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</row>
    <row r="38" spans="1:33" ht="13.5" customHeight="1">
      <c r="A38" s="264">
        <v>3100000003</v>
      </c>
      <c r="B38" s="264" t="s">
        <v>163</v>
      </c>
      <c r="C38" s="143">
        <f>+'MP, envases y producción'!D25</f>
        <v>1682.9510953608246</v>
      </c>
      <c r="D38" s="183"/>
      <c r="E38" s="177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202"/>
      <c r="S38" s="215"/>
      <c r="T38" s="177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</row>
    <row r="39" spans="1:33" ht="13.5" customHeight="1">
      <c r="A39" s="264">
        <v>3100000004</v>
      </c>
      <c r="B39" s="264" t="s">
        <v>164</v>
      </c>
      <c r="C39" s="143">
        <f>+'MP, envases y producción'!D31</f>
        <v>240.34929368029742</v>
      </c>
      <c r="D39" s="183"/>
      <c r="E39" s="177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202"/>
      <c r="S39" s="215"/>
      <c r="T39" s="177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</row>
    <row r="40" spans="1:33" ht="13.5" customHeight="1">
      <c r="A40" s="264">
        <v>3270000001</v>
      </c>
      <c r="B40" s="264" t="s">
        <v>157</v>
      </c>
      <c r="C40" s="143">
        <f>+'MP, envases y producción'!D39</f>
        <v>795.17306057385758</v>
      </c>
      <c r="D40" s="183"/>
      <c r="E40" s="177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202"/>
      <c r="S40" s="215"/>
      <c r="T40" s="177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</row>
    <row r="41" spans="1:33" ht="13.5" customHeight="1">
      <c r="A41" s="264">
        <v>3270000002</v>
      </c>
      <c r="B41" s="264" t="s">
        <v>158</v>
      </c>
      <c r="C41" s="143">
        <f>+'MP, envases y producción'!D45</f>
        <v>305.826366211692</v>
      </c>
      <c r="D41" s="183"/>
      <c r="E41" s="177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202"/>
      <c r="S41" s="215"/>
      <c r="T41" s="177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</row>
    <row r="42" spans="1:33" ht="13.5" customHeight="1">
      <c r="A42" s="264">
        <v>3270000003</v>
      </c>
      <c r="B42" s="264" t="s">
        <v>159</v>
      </c>
      <c r="C42" s="143">
        <f>+'MP, envases y producción'!D51</f>
        <v>25.71600476190476</v>
      </c>
      <c r="D42" s="183"/>
      <c r="E42" s="177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202"/>
      <c r="S42" s="215"/>
      <c r="T42" s="177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</row>
    <row r="43" spans="1:33" ht="13.5" customHeight="1">
      <c r="A43" s="264">
        <v>3270000004</v>
      </c>
      <c r="B43" s="264" t="s">
        <v>160</v>
      </c>
      <c r="C43" s="143">
        <f>+'MP, envases y producción'!D57</f>
        <v>60.766599423631135</v>
      </c>
      <c r="D43" s="183"/>
      <c r="E43" s="177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202"/>
      <c r="S43" s="215"/>
      <c r="T43" s="177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</row>
    <row r="44" spans="1:33" ht="13.5" customHeight="1">
      <c r="A44" s="264">
        <v>3500000001</v>
      </c>
      <c r="B44" s="264" t="str">
        <f>B40</f>
        <v>CERVEZA NORMAL BOTELLA 1 L.</v>
      </c>
      <c r="C44" s="143">
        <f>+'prod term'!D9</f>
        <v>7655.2923941564177</v>
      </c>
      <c r="D44" s="183"/>
      <c r="E44" s="177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202"/>
      <c r="S44" s="215"/>
      <c r="T44" s="177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</row>
    <row r="45" spans="1:33" ht="13.5" customHeight="1">
      <c r="A45" s="264">
        <v>3500000002</v>
      </c>
      <c r="B45" s="264" t="str">
        <f>B41</f>
        <v>CERVEZA NORMAL LATA 33 CL</v>
      </c>
      <c r="C45" s="143">
        <f>+'prod term'!G9</f>
        <v>2681.0493719386704</v>
      </c>
      <c r="D45" s="183"/>
      <c r="E45" s="177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202"/>
      <c r="S45" s="215"/>
      <c r="T45" s="177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</row>
    <row r="46" spans="1:33" ht="13.5" customHeight="1">
      <c r="A46" s="264">
        <v>3500000003</v>
      </c>
      <c r="B46" s="264" t="str">
        <f>B42</f>
        <v>CERVEZA SIN ALCHOL BOTELLA 1 L</v>
      </c>
      <c r="C46" s="143">
        <f>+'prod term'!J9</f>
        <v>1931.8461068899842</v>
      </c>
      <c r="D46" s="183"/>
      <c r="E46" s="177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202"/>
      <c r="S46" s="215"/>
      <c r="T46" s="177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</row>
    <row r="47" spans="1:33" ht="12">
      <c r="A47" s="264">
        <v>3500000004</v>
      </c>
      <c r="B47" s="264" t="str">
        <f>B43</f>
        <v>CERVEZA SIN ALCHOL LATA 33 CL</v>
      </c>
      <c r="C47" s="143">
        <f>+'prod term'!M9</f>
        <v>2832.3388397444696</v>
      </c>
      <c r="D47" s="183"/>
      <c r="E47" s="177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202"/>
      <c r="S47" s="215"/>
      <c r="T47" s="177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</row>
    <row r="48" spans="1:33" ht="12">
      <c r="A48" s="264">
        <v>4000000012</v>
      </c>
      <c r="B48" s="259" t="s">
        <v>39</v>
      </c>
      <c r="C48" s="142">
        <v>-590120</v>
      </c>
      <c r="D48" s="183"/>
      <c r="E48" s="177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202"/>
      <c r="S48" s="215"/>
      <c r="T48" s="177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</row>
    <row r="49" spans="1:34" ht="12">
      <c r="A49" s="264">
        <v>4000000054</v>
      </c>
      <c r="B49" s="259" t="s">
        <v>40</v>
      </c>
      <c r="C49" s="142">
        <v>-423000</v>
      </c>
      <c r="D49" s="183"/>
      <c r="E49" s="177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202"/>
      <c r="S49" s="215"/>
      <c r="T49" s="177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</row>
    <row r="50" spans="1:34" ht="12">
      <c r="A50" s="264">
        <v>4300000015</v>
      </c>
      <c r="B50" s="259" t="s">
        <v>41</v>
      </c>
      <c r="C50" s="142">
        <v>206000</v>
      </c>
      <c r="D50" s="183"/>
      <c r="E50" s="177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202"/>
      <c r="S50" s="215"/>
      <c r="T50" s="177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</row>
    <row r="51" spans="1:34" ht="12">
      <c r="A51" s="264">
        <v>4300000016</v>
      </c>
      <c r="B51" s="259" t="s">
        <v>129</v>
      </c>
      <c r="C51" s="142">
        <v>114700</v>
      </c>
      <c r="D51" s="183"/>
      <c r="E51" s="177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202"/>
      <c r="S51" s="215"/>
      <c r="T51" s="177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</row>
    <row r="52" spans="1:34" ht="12">
      <c r="A52" s="264">
        <v>4300000017</v>
      </c>
      <c r="B52" s="259" t="s">
        <v>128</v>
      </c>
      <c r="C52" s="142">
        <v>434675.48199999996</v>
      </c>
      <c r="D52" s="183"/>
      <c r="E52" s="177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202"/>
      <c r="S52" s="215"/>
      <c r="T52" s="177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</row>
    <row r="53" spans="1:34" s="166" customFormat="1" thickBot="1">
      <c r="A53" s="271">
        <v>5720008645</v>
      </c>
      <c r="B53" s="272" t="s">
        <v>135</v>
      </c>
      <c r="C53" s="144">
        <v>95800.639999999999</v>
      </c>
      <c r="D53" s="185"/>
      <c r="E53" s="180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203"/>
      <c r="S53" s="216"/>
      <c r="T53" s="180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</row>
    <row r="54" spans="1:34" ht="12">
      <c r="A54" s="269">
        <v>6010000001</v>
      </c>
      <c r="B54" s="270" t="str">
        <f>+B36</f>
        <v>AGUA</v>
      </c>
      <c r="C54" s="260">
        <f>+'MP, envases y producción'!D12</f>
        <v>13009.92</v>
      </c>
      <c r="D54" s="182">
        <f>C54</f>
        <v>13009.92</v>
      </c>
      <c r="E54" s="178">
        <f t="shared" ref="E54:E86" si="4">+$D54*T54</f>
        <v>13009.92</v>
      </c>
      <c r="F54" s="178">
        <f t="shared" ref="F54:F86" si="5">+$D54*U54</f>
        <v>0</v>
      </c>
      <c r="G54" s="178">
        <f t="shared" ref="G54:G86" si="6">+$D54*V54</f>
        <v>0</v>
      </c>
      <c r="H54" s="178">
        <f t="shared" ref="H54:H86" si="7">+$D54*W54</f>
        <v>0</v>
      </c>
      <c r="I54" s="178">
        <f t="shared" ref="I54:I86" si="8">+$D54*X54</f>
        <v>0</v>
      </c>
      <c r="J54" s="178">
        <f t="shared" ref="J54:J86" si="9">+$D54*Y54</f>
        <v>0</v>
      </c>
      <c r="K54" s="178">
        <f t="shared" ref="K54:K86" si="10">+$D54*Z54</f>
        <v>0</v>
      </c>
      <c r="L54" s="178">
        <f t="shared" ref="L54:L86" si="11">+$D54*AA54</f>
        <v>0</v>
      </c>
      <c r="M54" s="178">
        <f t="shared" ref="M54:M86" si="12">+$D54*AB54</f>
        <v>0</v>
      </c>
      <c r="N54" s="178">
        <f t="shared" ref="N54:N86" si="13">+$D54*AC54</f>
        <v>0</v>
      </c>
      <c r="O54" s="178">
        <f t="shared" ref="O54:O86" si="14">+$D54*AD54</f>
        <v>0</v>
      </c>
      <c r="P54" s="178">
        <f t="shared" ref="P54:P86" si="15">+$D54*AE54</f>
        <v>0</v>
      </c>
      <c r="Q54" s="178">
        <f t="shared" ref="Q54:Q86" si="16">+$D54*AF54</f>
        <v>0</v>
      </c>
      <c r="R54" s="178">
        <f t="shared" ref="R54:R86" si="17">+$D54*AG54</f>
        <v>0</v>
      </c>
      <c r="S54" s="214"/>
      <c r="T54" s="194">
        <v>1</v>
      </c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86">
        <f>SUM(T54:AG54)</f>
        <v>1</v>
      </c>
    </row>
    <row r="55" spans="1:34" ht="12">
      <c r="A55" s="264">
        <v>6010000002</v>
      </c>
      <c r="B55" s="270" t="str">
        <f>+B37</f>
        <v>MALTA DE CEBADA</v>
      </c>
      <c r="C55" s="142">
        <f>+'MP, envases y producción'!D18</f>
        <v>94970.700000000012</v>
      </c>
      <c r="D55" s="182">
        <f t="shared" ref="D55:D79" si="18">C55</f>
        <v>94970.700000000012</v>
      </c>
      <c r="E55" s="177">
        <f t="shared" si="4"/>
        <v>94970.700000000012</v>
      </c>
      <c r="F55" s="162">
        <f t="shared" si="5"/>
        <v>0</v>
      </c>
      <c r="G55" s="162">
        <f t="shared" si="6"/>
        <v>0</v>
      </c>
      <c r="H55" s="162">
        <f t="shared" si="7"/>
        <v>0</v>
      </c>
      <c r="I55" s="162">
        <f t="shared" si="8"/>
        <v>0</v>
      </c>
      <c r="J55" s="162">
        <f t="shared" si="9"/>
        <v>0</v>
      </c>
      <c r="K55" s="162">
        <f t="shared" si="10"/>
        <v>0</v>
      </c>
      <c r="L55" s="162">
        <f t="shared" si="11"/>
        <v>0</v>
      </c>
      <c r="M55" s="162">
        <f t="shared" si="12"/>
        <v>0</v>
      </c>
      <c r="N55" s="162">
        <f t="shared" si="13"/>
        <v>0</v>
      </c>
      <c r="O55" s="162">
        <f t="shared" si="14"/>
        <v>0</v>
      </c>
      <c r="P55" s="162">
        <f t="shared" si="15"/>
        <v>0</v>
      </c>
      <c r="Q55" s="162">
        <f t="shared" si="16"/>
        <v>0</v>
      </c>
      <c r="R55" s="202">
        <f t="shared" si="17"/>
        <v>0</v>
      </c>
      <c r="S55" s="215"/>
      <c r="T55" s="195">
        <v>1</v>
      </c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86">
        <f t="shared" ref="AH55:AH113" si="19">SUM(T55:AG55)</f>
        <v>1</v>
      </c>
    </row>
    <row r="56" spans="1:34" ht="12">
      <c r="A56" s="264">
        <v>6010000003</v>
      </c>
      <c r="B56" s="270" t="str">
        <f>+B38</f>
        <v>LÚPULO</v>
      </c>
      <c r="C56" s="142">
        <f>+'MP, envases y producción'!D24</f>
        <v>6227.5</v>
      </c>
      <c r="D56" s="182">
        <f t="shared" si="18"/>
        <v>6227.5</v>
      </c>
      <c r="E56" s="177">
        <f t="shared" si="4"/>
        <v>0</v>
      </c>
      <c r="F56" s="162">
        <f t="shared" si="5"/>
        <v>979.7552006285481</v>
      </c>
      <c r="G56" s="162">
        <f t="shared" si="6"/>
        <v>5247.7447993714522</v>
      </c>
      <c r="H56" s="162">
        <f t="shared" si="7"/>
        <v>0</v>
      </c>
      <c r="I56" s="162">
        <f t="shared" si="8"/>
        <v>0</v>
      </c>
      <c r="J56" s="162">
        <f t="shared" si="9"/>
        <v>0</v>
      </c>
      <c r="K56" s="162">
        <f t="shared" si="10"/>
        <v>0</v>
      </c>
      <c r="L56" s="162">
        <f t="shared" si="11"/>
        <v>0</v>
      </c>
      <c r="M56" s="162">
        <f t="shared" si="12"/>
        <v>0</v>
      </c>
      <c r="N56" s="162">
        <f t="shared" si="13"/>
        <v>0</v>
      </c>
      <c r="O56" s="162">
        <f t="shared" si="14"/>
        <v>0</v>
      </c>
      <c r="P56" s="162">
        <f t="shared" si="15"/>
        <v>0</v>
      </c>
      <c r="Q56" s="162">
        <f t="shared" si="16"/>
        <v>0</v>
      </c>
      <c r="R56" s="202">
        <f t="shared" si="17"/>
        <v>0</v>
      </c>
      <c r="S56" s="215"/>
      <c r="T56" s="195"/>
      <c r="U56" s="168">
        <f>+'MP, envases y producción'!$E$27</f>
        <v>0.15732721005677208</v>
      </c>
      <c r="V56" s="168">
        <f>+'MP, envases y producción'!$F$27</f>
        <v>0.84267278994322792</v>
      </c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86">
        <f t="shared" si="19"/>
        <v>1</v>
      </c>
    </row>
    <row r="57" spans="1:34" ht="12">
      <c r="A57" s="264">
        <v>6010000004</v>
      </c>
      <c r="B57" s="270" t="str">
        <f>+B39</f>
        <v>LEVADURA</v>
      </c>
      <c r="C57" s="142">
        <f>+'MP, envases y producción'!D30</f>
        <v>658.35</v>
      </c>
      <c r="D57" s="182">
        <f t="shared" si="18"/>
        <v>658.35</v>
      </c>
      <c r="E57" s="177">
        <f t="shared" si="4"/>
        <v>0</v>
      </c>
      <c r="F57" s="162">
        <f t="shared" si="5"/>
        <v>0</v>
      </c>
      <c r="G57" s="162">
        <f t="shared" si="6"/>
        <v>0</v>
      </c>
      <c r="H57" s="162">
        <f t="shared" si="7"/>
        <v>658.35</v>
      </c>
      <c r="I57" s="162">
        <f t="shared" si="8"/>
        <v>0</v>
      </c>
      <c r="J57" s="162">
        <f t="shared" si="9"/>
        <v>0</v>
      </c>
      <c r="K57" s="162">
        <f t="shared" si="10"/>
        <v>0</v>
      </c>
      <c r="L57" s="162">
        <f t="shared" si="11"/>
        <v>0</v>
      </c>
      <c r="M57" s="162">
        <f t="shared" si="12"/>
        <v>0</v>
      </c>
      <c r="N57" s="162">
        <f t="shared" si="13"/>
        <v>0</v>
      </c>
      <c r="O57" s="162">
        <f t="shared" si="14"/>
        <v>0</v>
      </c>
      <c r="P57" s="162">
        <f t="shared" si="15"/>
        <v>0</v>
      </c>
      <c r="Q57" s="162">
        <f t="shared" si="16"/>
        <v>0</v>
      </c>
      <c r="R57" s="202">
        <f t="shared" si="17"/>
        <v>0</v>
      </c>
      <c r="S57" s="215"/>
      <c r="T57" s="195"/>
      <c r="U57" s="168"/>
      <c r="V57" s="168"/>
      <c r="W57" s="168">
        <v>1</v>
      </c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86">
        <f t="shared" si="19"/>
        <v>1</v>
      </c>
    </row>
    <row r="58" spans="1:34" ht="12">
      <c r="A58" s="264">
        <v>6020000001</v>
      </c>
      <c r="B58" s="259" t="s">
        <v>165</v>
      </c>
      <c r="C58" s="142">
        <f>+'MP, envases y producción'!D38</f>
        <v>6155.36</v>
      </c>
      <c r="D58" s="182">
        <f t="shared" si="18"/>
        <v>6155.36</v>
      </c>
      <c r="E58" s="177">
        <f t="shared" si="4"/>
        <v>0</v>
      </c>
      <c r="F58" s="162">
        <f t="shared" si="5"/>
        <v>0</v>
      </c>
      <c r="G58" s="162">
        <f t="shared" si="6"/>
        <v>0</v>
      </c>
      <c r="H58" s="162">
        <f t="shared" si="7"/>
        <v>0</v>
      </c>
      <c r="I58" s="162">
        <f t="shared" si="8"/>
        <v>0</v>
      </c>
      <c r="J58" s="162">
        <f t="shared" si="9"/>
        <v>0</v>
      </c>
      <c r="K58" s="162">
        <f t="shared" si="10"/>
        <v>6155.36</v>
      </c>
      <c r="L58" s="162">
        <f t="shared" si="11"/>
        <v>0</v>
      </c>
      <c r="M58" s="162">
        <f t="shared" si="12"/>
        <v>0</v>
      </c>
      <c r="N58" s="162">
        <f t="shared" si="13"/>
        <v>0</v>
      </c>
      <c r="O58" s="162">
        <f t="shared" si="14"/>
        <v>0</v>
      </c>
      <c r="P58" s="162">
        <f t="shared" si="15"/>
        <v>0</v>
      </c>
      <c r="Q58" s="162">
        <f t="shared" si="16"/>
        <v>0</v>
      </c>
      <c r="R58" s="202">
        <f t="shared" si="17"/>
        <v>0</v>
      </c>
      <c r="S58" s="215"/>
      <c r="T58" s="195"/>
      <c r="U58" s="168"/>
      <c r="V58" s="168"/>
      <c r="W58" s="168"/>
      <c r="X58" s="168"/>
      <c r="Y58" s="168"/>
      <c r="Z58" s="168">
        <v>1</v>
      </c>
      <c r="AA58" s="168"/>
      <c r="AB58" s="168"/>
      <c r="AC58" s="168"/>
      <c r="AD58" s="168"/>
      <c r="AE58" s="168"/>
      <c r="AF58" s="168"/>
      <c r="AG58" s="168"/>
      <c r="AH58" s="186">
        <f t="shared" si="19"/>
        <v>1</v>
      </c>
    </row>
    <row r="59" spans="1:34" ht="12">
      <c r="A59" s="264">
        <v>6020000002</v>
      </c>
      <c r="B59" s="259" t="s">
        <v>166</v>
      </c>
      <c r="C59" s="142">
        <f>+'MP, envases y producción'!D44</f>
        <v>14912</v>
      </c>
      <c r="D59" s="182">
        <f t="shared" si="18"/>
        <v>14912</v>
      </c>
      <c r="E59" s="177">
        <f t="shared" si="4"/>
        <v>0</v>
      </c>
      <c r="F59" s="162">
        <f t="shared" si="5"/>
        <v>0</v>
      </c>
      <c r="G59" s="162">
        <f t="shared" si="6"/>
        <v>0</v>
      </c>
      <c r="H59" s="162">
        <f t="shared" si="7"/>
        <v>0</v>
      </c>
      <c r="I59" s="162">
        <f t="shared" si="8"/>
        <v>0</v>
      </c>
      <c r="J59" s="162">
        <f t="shared" si="9"/>
        <v>14912</v>
      </c>
      <c r="K59" s="162">
        <f t="shared" si="10"/>
        <v>0</v>
      </c>
      <c r="L59" s="162">
        <f t="shared" si="11"/>
        <v>0</v>
      </c>
      <c r="M59" s="162">
        <f t="shared" si="12"/>
        <v>0</v>
      </c>
      <c r="N59" s="162">
        <f t="shared" si="13"/>
        <v>0</v>
      </c>
      <c r="O59" s="162">
        <f t="shared" si="14"/>
        <v>0</v>
      </c>
      <c r="P59" s="162">
        <f t="shared" si="15"/>
        <v>0</v>
      </c>
      <c r="Q59" s="162">
        <f t="shared" si="16"/>
        <v>0</v>
      </c>
      <c r="R59" s="202">
        <f t="shared" si="17"/>
        <v>0</v>
      </c>
      <c r="S59" s="215"/>
      <c r="T59" s="195"/>
      <c r="U59" s="168"/>
      <c r="V59" s="168"/>
      <c r="W59" s="168"/>
      <c r="X59" s="168"/>
      <c r="Y59" s="168">
        <v>1</v>
      </c>
      <c r="Z59" s="168"/>
      <c r="AA59" s="168"/>
      <c r="AB59" s="168"/>
      <c r="AC59" s="168"/>
      <c r="AD59" s="168"/>
      <c r="AE59" s="168"/>
      <c r="AF59" s="168"/>
      <c r="AG59" s="168"/>
      <c r="AH59" s="186">
        <f t="shared" si="19"/>
        <v>1</v>
      </c>
    </row>
    <row r="60" spans="1:34" ht="12">
      <c r="A60" s="264">
        <v>6020000003</v>
      </c>
      <c r="B60" s="259" t="s">
        <v>167</v>
      </c>
      <c r="C60" s="142">
        <f>+'MP, envases y producción'!D50</f>
        <v>723.75</v>
      </c>
      <c r="D60" s="182">
        <f t="shared" si="18"/>
        <v>723.75</v>
      </c>
      <c r="E60" s="177">
        <f t="shared" si="4"/>
        <v>0</v>
      </c>
      <c r="F60" s="162">
        <f t="shared" si="5"/>
        <v>0</v>
      </c>
      <c r="G60" s="162">
        <f t="shared" si="6"/>
        <v>0</v>
      </c>
      <c r="H60" s="162">
        <f t="shared" si="7"/>
        <v>0</v>
      </c>
      <c r="I60" s="162">
        <f t="shared" si="8"/>
        <v>0</v>
      </c>
      <c r="J60" s="162">
        <f t="shared" si="9"/>
        <v>0</v>
      </c>
      <c r="K60" s="162">
        <f t="shared" si="10"/>
        <v>723.75</v>
      </c>
      <c r="L60" s="162">
        <f t="shared" si="11"/>
        <v>0</v>
      </c>
      <c r="M60" s="162">
        <f t="shared" si="12"/>
        <v>0</v>
      </c>
      <c r="N60" s="162">
        <f t="shared" si="13"/>
        <v>0</v>
      </c>
      <c r="O60" s="162">
        <f t="shared" si="14"/>
        <v>0</v>
      </c>
      <c r="P60" s="162">
        <f t="shared" si="15"/>
        <v>0</v>
      </c>
      <c r="Q60" s="162">
        <f t="shared" si="16"/>
        <v>0</v>
      </c>
      <c r="R60" s="202">
        <f t="shared" si="17"/>
        <v>0</v>
      </c>
      <c r="S60" s="215"/>
      <c r="T60" s="195"/>
      <c r="U60" s="168"/>
      <c r="V60" s="168"/>
      <c r="W60" s="168"/>
      <c r="X60" s="168"/>
      <c r="Y60" s="168"/>
      <c r="Z60" s="168">
        <v>1</v>
      </c>
      <c r="AA60" s="168"/>
      <c r="AB60" s="168"/>
      <c r="AC60" s="168"/>
      <c r="AD60" s="168"/>
      <c r="AE60" s="168"/>
      <c r="AF60" s="168"/>
      <c r="AG60" s="168"/>
      <c r="AH60" s="186">
        <f t="shared" si="19"/>
        <v>1</v>
      </c>
    </row>
    <row r="61" spans="1:34" ht="12">
      <c r="A61" s="264">
        <v>6020000004</v>
      </c>
      <c r="B61" s="259" t="s">
        <v>168</v>
      </c>
      <c r="C61" s="142">
        <f>+'MP, envases y producción'!D56</f>
        <v>1621.8000000000002</v>
      </c>
      <c r="D61" s="182">
        <f t="shared" si="18"/>
        <v>1621.8000000000002</v>
      </c>
      <c r="E61" s="177">
        <f t="shared" si="4"/>
        <v>0</v>
      </c>
      <c r="F61" s="162">
        <f t="shared" si="5"/>
        <v>0</v>
      </c>
      <c r="G61" s="162">
        <f t="shared" si="6"/>
        <v>0</v>
      </c>
      <c r="H61" s="162">
        <f t="shared" si="7"/>
        <v>0</v>
      </c>
      <c r="I61" s="162">
        <f t="shared" si="8"/>
        <v>0</v>
      </c>
      <c r="J61" s="162">
        <f t="shared" si="9"/>
        <v>1621.8000000000002</v>
      </c>
      <c r="K61" s="162">
        <f t="shared" si="10"/>
        <v>0</v>
      </c>
      <c r="L61" s="162">
        <f t="shared" si="11"/>
        <v>0</v>
      </c>
      <c r="M61" s="162">
        <f t="shared" si="12"/>
        <v>0</v>
      </c>
      <c r="N61" s="162">
        <f t="shared" si="13"/>
        <v>0</v>
      </c>
      <c r="O61" s="162">
        <f t="shared" si="14"/>
        <v>0</v>
      </c>
      <c r="P61" s="162">
        <f t="shared" si="15"/>
        <v>0</v>
      </c>
      <c r="Q61" s="162">
        <f t="shared" si="16"/>
        <v>0</v>
      </c>
      <c r="R61" s="202">
        <f t="shared" si="17"/>
        <v>0</v>
      </c>
      <c r="S61" s="215"/>
      <c r="T61" s="195"/>
      <c r="U61" s="168"/>
      <c r="V61" s="168"/>
      <c r="W61" s="168"/>
      <c r="X61" s="168"/>
      <c r="Y61" s="168">
        <v>1</v>
      </c>
      <c r="Z61" s="168"/>
      <c r="AA61" s="168"/>
      <c r="AB61" s="168"/>
      <c r="AC61" s="168"/>
      <c r="AD61" s="168"/>
      <c r="AE61" s="168"/>
      <c r="AF61" s="168"/>
      <c r="AG61" s="168"/>
      <c r="AH61" s="186">
        <f t="shared" si="19"/>
        <v>1</v>
      </c>
    </row>
    <row r="62" spans="1:34" ht="12">
      <c r="A62" s="264">
        <v>6110000001</v>
      </c>
      <c r="B62" s="264" t="str">
        <f>+B36</f>
        <v>AGUA</v>
      </c>
      <c r="C62" s="143">
        <f>+'MP, envases y producción'!D11-'MP, envases y producción'!D13</f>
        <v>-781.66860966542743</v>
      </c>
      <c r="D62" s="182">
        <f t="shared" si="18"/>
        <v>-781.66860966542743</v>
      </c>
      <c r="E62" s="177">
        <f t="shared" si="4"/>
        <v>-781.66860966542743</v>
      </c>
      <c r="F62" s="162">
        <f t="shared" si="5"/>
        <v>0</v>
      </c>
      <c r="G62" s="162">
        <f t="shared" si="6"/>
        <v>0</v>
      </c>
      <c r="H62" s="162">
        <f t="shared" si="7"/>
        <v>0</v>
      </c>
      <c r="I62" s="162">
        <f t="shared" si="8"/>
        <v>0</v>
      </c>
      <c r="J62" s="162">
        <f t="shared" si="9"/>
        <v>0</v>
      </c>
      <c r="K62" s="162">
        <f t="shared" si="10"/>
        <v>0</v>
      </c>
      <c r="L62" s="162">
        <f t="shared" si="11"/>
        <v>0</v>
      </c>
      <c r="M62" s="162">
        <f t="shared" si="12"/>
        <v>0</v>
      </c>
      <c r="N62" s="162">
        <f t="shared" si="13"/>
        <v>0</v>
      </c>
      <c r="O62" s="162">
        <f t="shared" si="14"/>
        <v>0</v>
      </c>
      <c r="P62" s="162">
        <f t="shared" si="15"/>
        <v>0</v>
      </c>
      <c r="Q62" s="162">
        <f t="shared" si="16"/>
        <v>0</v>
      </c>
      <c r="R62" s="202">
        <f t="shared" si="17"/>
        <v>0</v>
      </c>
      <c r="S62" s="215"/>
      <c r="T62" s="195">
        <f>+T54</f>
        <v>1</v>
      </c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86">
        <f t="shared" si="19"/>
        <v>1</v>
      </c>
    </row>
    <row r="63" spans="1:34" ht="12">
      <c r="A63" s="264">
        <v>6110000002</v>
      </c>
      <c r="B63" s="264" t="str">
        <f>+B37</f>
        <v>MALTA DE CEBADA</v>
      </c>
      <c r="C63" s="143">
        <f>+'MP, envases y producción'!D17-'MP, envases y producción'!D19</f>
        <v>8743.8956366874445</v>
      </c>
      <c r="D63" s="182">
        <f t="shared" si="18"/>
        <v>8743.8956366874445</v>
      </c>
      <c r="E63" s="177">
        <f t="shared" si="4"/>
        <v>8743.8956366874445</v>
      </c>
      <c r="F63" s="162">
        <f t="shared" si="5"/>
        <v>0</v>
      </c>
      <c r="G63" s="162">
        <f t="shared" si="6"/>
        <v>0</v>
      </c>
      <c r="H63" s="162">
        <f t="shared" si="7"/>
        <v>0</v>
      </c>
      <c r="I63" s="162">
        <f t="shared" si="8"/>
        <v>0</v>
      </c>
      <c r="J63" s="162">
        <f t="shared" si="9"/>
        <v>0</v>
      </c>
      <c r="K63" s="162">
        <f t="shared" si="10"/>
        <v>0</v>
      </c>
      <c r="L63" s="162">
        <f t="shared" si="11"/>
        <v>0</v>
      </c>
      <c r="M63" s="162">
        <f t="shared" si="12"/>
        <v>0</v>
      </c>
      <c r="N63" s="162">
        <f t="shared" si="13"/>
        <v>0</v>
      </c>
      <c r="O63" s="162">
        <f t="shared" si="14"/>
        <v>0</v>
      </c>
      <c r="P63" s="162">
        <f t="shared" si="15"/>
        <v>0</v>
      </c>
      <c r="Q63" s="162">
        <f t="shared" si="16"/>
        <v>0</v>
      </c>
      <c r="R63" s="202">
        <f t="shared" si="17"/>
        <v>0</v>
      </c>
      <c r="S63" s="215"/>
      <c r="T63" s="195">
        <f>+T55</f>
        <v>1</v>
      </c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86">
        <f t="shared" si="19"/>
        <v>1</v>
      </c>
    </row>
    <row r="64" spans="1:34" ht="12">
      <c r="A64" s="264">
        <v>6110000003</v>
      </c>
      <c r="B64" s="264" t="str">
        <f>+B38</f>
        <v>LÚPULO</v>
      </c>
      <c r="C64" s="143">
        <f>+'MP, envases y producción'!D23-'MP, envases y producción'!D25</f>
        <v>277.44890463917545</v>
      </c>
      <c r="D64" s="182">
        <f t="shared" si="18"/>
        <v>277.44890463917545</v>
      </c>
      <c r="E64" s="177">
        <f t="shared" si="4"/>
        <v>0</v>
      </c>
      <c r="F64" s="162">
        <f t="shared" si="5"/>
        <v>43.650262100188883</v>
      </c>
      <c r="G64" s="162">
        <f t="shared" si="6"/>
        <v>233.79864253898657</v>
      </c>
      <c r="H64" s="162">
        <f t="shared" si="7"/>
        <v>0</v>
      </c>
      <c r="I64" s="162">
        <f t="shared" si="8"/>
        <v>0</v>
      </c>
      <c r="J64" s="162">
        <f t="shared" si="9"/>
        <v>0</v>
      </c>
      <c r="K64" s="162">
        <f t="shared" si="10"/>
        <v>0</v>
      </c>
      <c r="L64" s="162">
        <f t="shared" si="11"/>
        <v>0</v>
      </c>
      <c r="M64" s="162">
        <f t="shared" si="12"/>
        <v>0</v>
      </c>
      <c r="N64" s="162">
        <f t="shared" si="13"/>
        <v>0</v>
      </c>
      <c r="O64" s="162">
        <f t="shared" si="14"/>
        <v>0</v>
      </c>
      <c r="P64" s="162">
        <f t="shared" si="15"/>
        <v>0</v>
      </c>
      <c r="Q64" s="162">
        <f t="shared" si="16"/>
        <v>0</v>
      </c>
      <c r="R64" s="202">
        <f t="shared" si="17"/>
        <v>0</v>
      </c>
      <c r="S64" s="215"/>
      <c r="T64" s="195"/>
      <c r="U64" s="168">
        <f>+'MP, envases y producción'!$E$27</f>
        <v>0.15732721005677208</v>
      </c>
      <c r="V64" s="168">
        <f>+'MP, envases y producción'!$F$27</f>
        <v>0.84267278994322792</v>
      </c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86">
        <f t="shared" si="19"/>
        <v>1</v>
      </c>
    </row>
    <row r="65" spans="1:34" ht="12">
      <c r="A65" s="264">
        <v>6110000004</v>
      </c>
      <c r="B65" s="264" t="str">
        <f>+B39</f>
        <v>LEVADURA</v>
      </c>
      <c r="C65" s="143">
        <f>+'MP, envases y producción'!D29-'MP, envases y producción'!D31</f>
        <v>-129.00929368029742</v>
      </c>
      <c r="D65" s="182">
        <f t="shared" si="18"/>
        <v>-129.00929368029742</v>
      </c>
      <c r="E65" s="177">
        <f t="shared" si="4"/>
        <v>0</v>
      </c>
      <c r="F65" s="162">
        <f t="shared" si="5"/>
        <v>0</v>
      </c>
      <c r="G65" s="162">
        <f t="shared" si="6"/>
        <v>0</v>
      </c>
      <c r="H65" s="162">
        <f t="shared" si="7"/>
        <v>-129.00929368029742</v>
      </c>
      <c r="I65" s="162">
        <f t="shared" si="8"/>
        <v>0</v>
      </c>
      <c r="J65" s="162">
        <f t="shared" si="9"/>
        <v>0</v>
      </c>
      <c r="K65" s="162">
        <f t="shared" si="10"/>
        <v>0</v>
      </c>
      <c r="L65" s="162">
        <f t="shared" si="11"/>
        <v>0</v>
      </c>
      <c r="M65" s="162">
        <f t="shared" si="12"/>
        <v>0</v>
      </c>
      <c r="N65" s="162">
        <f t="shared" si="13"/>
        <v>0</v>
      </c>
      <c r="O65" s="162">
        <f t="shared" si="14"/>
        <v>0</v>
      </c>
      <c r="P65" s="162">
        <f t="shared" si="15"/>
        <v>0</v>
      </c>
      <c r="Q65" s="162">
        <f t="shared" si="16"/>
        <v>0</v>
      </c>
      <c r="R65" s="202">
        <f t="shared" si="17"/>
        <v>0</v>
      </c>
      <c r="S65" s="215"/>
      <c r="T65" s="195"/>
      <c r="U65" s="168"/>
      <c r="V65" s="168"/>
      <c r="W65" s="168">
        <v>1</v>
      </c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86">
        <f t="shared" si="19"/>
        <v>1</v>
      </c>
    </row>
    <row r="66" spans="1:34" ht="12">
      <c r="A66" s="264">
        <v>6120000001</v>
      </c>
      <c r="B66" s="264" t="str">
        <f>+B58</f>
        <v>BOTELLA 1 L. (CERVEZA NORMAL)</v>
      </c>
      <c r="C66" s="143">
        <f>+'MP, envases y producción'!D37-'MP, envases y producción'!D39</f>
        <v>978.02693942614246</v>
      </c>
      <c r="D66" s="182">
        <f t="shared" si="18"/>
        <v>978.02693942614246</v>
      </c>
      <c r="E66" s="177">
        <f t="shared" si="4"/>
        <v>0</v>
      </c>
      <c r="F66" s="162">
        <f t="shared" si="5"/>
        <v>0</v>
      </c>
      <c r="G66" s="162">
        <f t="shared" si="6"/>
        <v>0</v>
      </c>
      <c r="H66" s="162">
        <f t="shared" si="7"/>
        <v>0</v>
      </c>
      <c r="I66" s="162">
        <f t="shared" si="8"/>
        <v>0</v>
      </c>
      <c r="J66" s="162">
        <f t="shared" si="9"/>
        <v>0</v>
      </c>
      <c r="K66" s="162">
        <f t="shared" si="10"/>
        <v>978.02693942614246</v>
      </c>
      <c r="L66" s="162">
        <f t="shared" si="11"/>
        <v>0</v>
      </c>
      <c r="M66" s="162">
        <f t="shared" si="12"/>
        <v>0</v>
      </c>
      <c r="N66" s="162">
        <f t="shared" si="13"/>
        <v>0</v>
      </c>
      <c r="O66" s="162">
        <f t="shared" si="14"/>
        <v>0</v>
      </c>
      <c r="P66" s="162">
        <f t="shared" si="15"/>
        <v>0</v>
      </c>
      <c r="Q66" s="162">
        <f t="shared" si="16"/>
        <v>0</v>
      </c>
      <c r="R66" s="202">
        <f t="shared" si="17"/>
        <v>0</v>
      </c>
      <c r="S66" s="215"/>
      <c r="T66" s="195"/>
      <c r="U66" s="168"/>
      <c r="V66" s="168"/>
      <c r="W66" s="168"/>
      <c r="X66" s="168"/>
      <c r="Y66" s="168"/>
      <c r="Z66" s="168">
        <v>1</v>
      </c>
      <c r="AA66" s="168"/>
      <c r="AB66" s="168"/>
      <c r="AC66" s="168"/>
      <c r="AD66" s="168"/>
      <c r="AE66" s="168"/>
      <c r="AF66" s="168"/>
      <c r="AG66" s="168"/>
      <c r="AH66" s="186">
        <f t="shared" si="19"/>
        <v>1</v>
      </c>
    </row>
    <row r="67" spans="1:34" ht="12">
      <c r="A67" s="264">
        <v>6120000002</v>
      </c>
      <c r="B67" s="264" t="str">
        <f>+B59</f>
        <v>LATA 33 CL (CERVEZA NORMAL)</v>
      </c>
      <c r="C67" s="143">
        <f>+'MP, envases y producción'!D43-'MP, envases y producción'!D45</f>
        <v>236.673633788308</v>
      </c>
      <c r="D67" s="182">
        <f t="shared" si="18"/>
        <v>236.673633788308</v>
      </c>
      <c r="E67" s="177">
        <f t="shared" si="4"/>
        <v>0</v>
      </c>
      <c r="F67" s="162">
        <f t="shared" si="5"/>
        <v>0</v>
      </c>
      <c r="G67" s="162">
        <f t="shared" si="6"/>
        <v>0</v>
      </c>
      <c r="H67" s="162">
        <f t="shared" si="7"/>
        <v>0</v>
      </c>
      <c r="I67" s="162">
        <f t="shared" si="8"/>
        <v>0</v>
      </c>
      <c r="J67" s="162">
        <f t="shared" si="9"/>
        <v>236.673633788308</v>
      </c>
      <c r="K67" s="162">
        <f t="shared" si="10"/>
        <v>0</v>
      </c>
      <c r="L67" s="162">
        <f t="shared" si="11"/>
        <v>0</v>
      </c>
      <c r="M67" s="162">
        <f t="shared" si="12"/>
        <v>0</v>
      </c>
      <c r="N67" s="162">
        <f t="shared" si="13"/>
        <v>0</v>
      </c>
      <c r="O67" s="162">
        <f t="shared" si="14"/>
        <v>0</v>
      </c>
      <c r="P67" s="162">
        <f t="shared" si="15"/>
        <v>0</v>
      </c>
      <c r="Q67" s="162">
        <f t="shared" si="16"/>
        <v>0</v>
      </c>
      <c r="R67" s="202">
        <f t="shared" si="17"/>
        <v>0</v>
      </c>
      <c r="S67" s="215"/>
      <c r="T67" s="195"/>
      <c r="U67" s="168"/>
      <c r="V67" s="168"/>
      <c r="W67" s="168"/>
      <c r="X67" s="168"/>
      <c r="Y67" s="168">
        <v>1</v>
      </c>
      <c r="Z67" s="168"/>
      <c r="AA67" s="168"/>
      <c r="AB67" s="168"/>
      <c r="AC67" s="168"/>
      <c r="AD67" s="168"/>
      <c r="AE67" s="168"/>
      <c r="AF67" s="168"/>
      <c r="AG67" s="168"/>
      <c r="AH67" s="186">
        <f t="shared" si="19"/>
        <v>1</v>
      </c>
    </row>
    <row r="68" spans="1:34" ht="12">
      <c r="A68" s="264">
        <v>6120000003</v>
      </c>
      <c r="B68" s="264" t="str">
        <f>+B60</f>
        <v>BOTELLA 1 L (CERVEZA SIN ALCHOL)</v>
      </c>
      <c r="C68" s="143">
        <f>+'MP, envases y producción'!D49-'MP, envases y producción'!D51</f>
        <v>28.683995238095239</v>
      </c>
      <c r="D68" s="182">
        <f t="shared" si="18"/>
        <v>28.683995238095239</v>
      </c>
      <c r="E68" s="177">
        <f t="shared" si="4"/>
        <v>0</v>
      </c>
      <c r="F68" s="162">
        <f t="shared" si="5"/>
        <v>0</v>
      </c>
      <c r="G68" s="162">
        <f t="shared" si="6"/>
        <v>0</v>
      </c>
      <c r="H68" s="162">
        <f t="shared" si="7"/>
        <v>0</v>
      </c>
      <c r="I68" s="162">
        <f t="shared" si="8"/>
        <v>0</v>
      </c>
      <c r="J68" s="162">
        <f t="shared" si="9"/>
        <v>0</v>
      </c>
      <c r="K68" s="162">
        <f t="shared" si="10"/>
        <v>28.683995238095239</v>
      </c>
      <c r="L68" s="162">
        <f t="shared" si="11"/>
        <v>0</v>
      </c>
      <c r="M68" s="162">
        <f t="shared" si="12"/>
        <v>0</v>
      </c>
      <c r="N68" s="162">
        <f t="shared" si="13"/>
        <v>0</v>
      </c>
      <c r="O68" s="162">
        <f t="shared" si="14"/>
        <v>0</v>
      </c>
      <c r="P68" s="162">
        <f t="shared" si="15"/>
        <v>0</v>
      </c>
      <c r="Q68" s="162">
        <f t="shared" si="16"/>
        <v>0</v>
      </c>
      <c r="R68" s="202">
        <f t="shared" si="17"/>
        <v>0</v>
      </c>
      <c r="S68" s="215"/>
      <c r="T68" s="195"/>
      <c r="U68" s="168"/>
      <c r="V68" s="168"/>
      <c r="W68" s="168"/>
      <c r="X68" s="168"/>
      <c r="Y68" s="168"/>
      <c r="Z68" s="168">
        <v>1</v>
      </c>
      <c r="AA68" s="168"/>
      <c r="AB68" s="168"/>
      <c r="AC68" s="168"/>
      <c r="AD68" s="168"/>
      <c r="AE68" s="168"/>
      <c r="AF68" s="168"/>
      <c r="AG68" s="168"/>
      <c r="AH68" s="186">
        <f t="shared" si="19"/>
        <v>1</v>
      </c>
    </row>
    <row r="69" spans="1:34" ht="12">
      <c r="A69" s="264">
        <v>6120000004</v>
      </c>
      <c r="B69" s="264" t="str">
        <f>+B61</f>
        <v>LATA 33 CL (CERVEZA SIN ALCHOL)</v>
      </c>
      <c r="C69" s="143">
        <f>+'MP, envases y producción'!D55-'MP, envases y producción'!D57</f>
        <v>69.733400576368865</v>
      </c>
      <c r="D69" s="182">
        <f t="shared" si="18"/>
        <v>69.733400576368865</v>
      </c>
      <c r="E69" s="177">
        <f t="shared" si="4"/>
        <v>0</v>
      </c>
      <c r="F69" s="162">
        <f t="shared" si="5"/>
        <v>0</v>
      </c>
      <c r="G69" s="162">
        <f t="shared" si="6"/>
        <v>0</v>
      </c>
      <c r="H69" s="162">
        <f t="shared" si="7"/>
        <v>0</v>
      </c>
      <c r="I69" s="162">
        <f t="shared" si="8"/>
        <v>0</v>
      </c>
      <c r="J69" s="162">
        <f t="shared" si="9"/>
        <v>69.733400576368865</v>
      </c>
      <c r="K69" s="162">
        <f t="shared" si="10"/>
        <v>0</v>
      </c>
      <c r="L69" s="162">
        <f t="shared" si="11"/>
        <v>0</v>
      </c>
      <c r="M69" s="162">
        <f t="shared" si="12"/>
        <v>0</v>
      </c>
      <c r="N69" s="162">
        <f t="shared" si="13"/>
        <v>0</v>
      </c>
      <c r="O69" s="162">
        <f t="shared" si="14"/>
        <v>0</v>
      </c>
      <c r="P69" s="162">
        <f t="shared" si="15"/>
        <v>0</v>
      </c>
      <c r="Q69" s="162">
        <f t="shared" si="16"/>
        <v>0</v>
      </c>
      <c r="R69" s="202">
        <f t="shared" si="17"/>
        <v>0</v>
      </c>
      <c r="S69" s="215"/>
      <c r="T69" s="195"/>
      <c r="U69" s="168"/>
      <c r="V69" s="168"/>
      <c r="W69" s="168"/>
      <c r="X69" s="168"/>
      <c r="Y69" s="168">
        <v>1</v>
      </c>
      <c r="Z69" s="168"/>
      <c r="AA69" s="168"/>
      <c r="AB69" s="168"/>
      <c r="AC69" s="168"/>
      <c r="AD69" s="168"/>
      <c r="AE69" s="168"/>
      <c r="AF69" s="168"/>
      <c r="AG69" s="168"/>
      <c r="AH69" s="186">
        <f t="shared" si="19"/>
        <v>1</v>
      </c>
    </row>
    <row r="70" spans="1:34" ht="12">
      <c r="A70" s="264">
        <v>6220000001</v>
      </c>
      <c r="B70" s="259" t="s">
        <v>111</v>
      </c>
      <c r="C70" s="142">
        <v>5760</v>
      </c>
      <c r="D70" s="182">
        <f t="shared" si="18"/>
        <v>5760</v>
      </c>
      <c r="E70" s="177">
        <f t="shared" si="4"/>
        <v>0</v>
      </c>
      <c r="F70" s="162">
        <f t="shared" si="5"/>
        <v>1152</v>
      </c>
      <c r="G70" s="162">
        <f t="shared" si="6"/>
        <v>0</v>
      </c>
      <c r="H70" s="162">
        <f t="shared" si="7"/>
        <v>1152</v>
      </c>
      <c r="I70" s="162">
        <f t="shared" si="8"/>
        <v>0</v>
      </c>
      <c r="J70" s="162">
        <f t="shared" si="9"/>
        <v>2592</v>
      </c>
      <c r="K70" s="162">
        <f t="shared" si="10"/>
        <v>864</v>
      </c>
      <c r="L70" s="162">
        <f t="shared" si="11"/>
        <v>0</v>
      </c>
      <c r="M70" s="162">
        <f t="shared" si="12"/>
        <v>0</v>
      </c>
      <c r="N70" s="162">
        <f t="shared" si="13"/>
        <v>0</v>
      </c>
      <c r="O70" s="162">
        <f t="shared" si="14"/>
        <v>0</v>
      </c>
      <c r="P70" s="162">
        <f t="shared" si="15"/>
        <v>0</v>
      </c>
      <c r="Q70" s="162">
        <f t="shared" si="16"/>
        <v>0</v>
      </c>
      <c r="R70" s="202">
        <f t="shared" si="17"/>
        <v>0</v>
      </c>
      <c r="S70" s="215"/>
      <c r="T70" s="195"/>
      <c r="U70" s="168">
        <v>0.2</v>
      </c>
      <c r="V70" s="168"/>
      <c r="W70" s="168">
        <v>0.2</v>
      </c>
      <c r="X70" s="168"/>
      <c r="Y70" s="168">
        <v>0.45</v>
      </c>
      <c r="Z70" s="168">
        <v>0.15</v>
      </c>
      <c r="AA70" s="168"/>
      <c r="AB70" s="168"/>
      <c r="AC70" s="168"/>
      <c r="AD70" s="168"/>
      <c r="AE70" s="168"/>
      <c r="AF70" s="168"/>
      <c r="AG70" s="168"/>
      <c r="AH70" s="186">
        <f t="shared" si="19"/>
        <v>1</v>
      </c>
    </row>
    <row r="71" spans="1:34" ht="12">
      <c r="A71" s="264">
        <v>6230000001</v>
      </c>
      <c r="B71" s="259" t="s">
        <v>4</v>
      </c>
      <c r="C71" s="142">
        <v>620</v>
      </c>
      <c r="D71" s="182">
        <f t="shared" si="18"/>
        <v>620</v>
      </c>
      <c r="E71" s="177">
        <f t="shared" si="4"/>
        <v>0</v>
      </c>
      <c r="F71" s="162">
        <f t="shared" si="5"/>
        <v>0</v>
      </c>
      <c r="G71" s="162">
        <f t="shared" si="6"/>
        <v>0</v>
      </c>
      <c r="H71" s="162">
        <f t="shared" si="7"/>
        <v>0</v>
      </c>
      <c r="I71" s="162">
        <f t="shared" si="8"/>
        <v>0</v>
      </c>
      <c r="J71" s="162">
        <f t="shared" si="9"/>
        <v>0</v>
      </c>
      <c r="K71" s="162">
        <f t="shared" si="10"/>
        <v>0</v>
      </c>
      <c r="L71" s="162">
        <f t="shared" si="11"/>
        <v>0</v>
      </c>
      <c r="M71" s="162">
        <f t="shared" si="12"/>
        <v>620</v>
      </c>
      <c r="N71" s="162">
        <f t="shared" si="13"/>
        <v>0</v>
      </c>
      <c r="O71" s="162">
        <f t="shared" si="14"/>
        <v>0</v>
      </c>
      <c r="P71" s="162">
        <f t="shared" si="15"/>
        <v>0</v>
      </c>
      <c r="Q71" s="162">
        <f t="shared" si="16"/>
        <v>0</v>
      </c>
      <c r="R71" s="202">
        <f t="shared" si="17"/>
        <v>0</v>
      </c>
      <c r="S71" s="215"/>
      <c r="T71" s="195"/>
      <c r="U71" s="168"/>
      <c r="V71" s="168"/>
      <c r="W71" s="168"/>
      <c r="X71" s="168"/>
      <c r="Y71" s="168"/>
      <c r="Z71" s="168"/>
      <c r="AA71" s="168"/>
      <c r="AB71" s="168">
        <v>1</v>
      </c>
      <c r="AC71" s="168"/>
      <c r="AD71" s="168"/>
      <c r="AE71" s="168"/>
      <c r="AF71" s="168"/>
      <c r="AG71" s="168"/>
      <c r="AH71" s="186">
        <f t="shared" si="19"/>
        <v>1</v>
      </c>
    </row>
    <row r="72" spans="1:34" ht="12">
      <c r="A72" s="264">
        <v>6240000001</v>
      </c>
      <c r="B72" s="259" t="s">
        <v>109</v>
      </c>
      <c r="C72" s="143">
        <v>18320</v>
      </c>
      <c r="D72" s="182">
        <f t="shared" si="18"/>
        <v>18320</v>
      </c>
      <c r="E72" s="177">
        <f t="shared" si="4"/>
        <v>0</v>
      </c>
      <c r="F72" s="162">
        <f t="shared" si="5"/>
        <v>0</v>
      </c>
      <c r="G72" s="162">
        <f t="shared" si="6"/>
        <v>0</v>
      </c>
      <c r="H72" s="162">
        <f t="shared" si="7"/>
        <v>0</v>
      </c>
      <c r="I72" s="162">
        <f t="shared" si="8"/>
        <v>0</v>
      </c>
      <c r="J72" s="162">
        <f t="shared" si="9"/>
        <v>0</v>
      </c>
      <c r="K72" s="162">
        <f t="shared" si="10"/>
        <v>0</v>
      </c>
      <c r="L72" s="162">
        <f t="shared" si="11"/>
        <v>0</v>
      </c>
      <c r="M72" s="162">
        <f t="shared" si="12"/>
        <v>0</v>
      </c>
      <c r="N72" s="162">
        <f t="shared" si="13"/>
        <v>0</v>
      </c>
      <c r="O72" s="162">
        <f t="shared" si="14"/>
        <v>0</v>
      </c>
      <c r="P72" s="162">
        <f t="shared" si="15"/>
        <v>0</v>
      </c>
      <c r="Q72" s="162">
        <f t="shared" si="16"/>
        <v>0</v>
      </c>
      <c r="R72" s="202">
        <f t="shared" si="17"/>
        <v>18320</v>
      </c>
      <c r="S72" s="215"/>
      <c r="T72" s="195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>
        <v>1</v>
      </c>
      <c r="AH72" s="186">
        <f t="shared" si="19"/>
        <v>1</v>
      </c>
    </row>
    <row r="73" spans="1:34" ht="12">
      <c r="A73" s="264">
        <v>6270000001</v>
      </c>
      <c r="B73" s="259" t="s">
        <v>136</v>
      </c>
      <c r="C73" s="142">
        <v>3400</v>
      </c>
      <c r="D73" s="182">
        <f t="shared" si="18"/>
        <v>3400</v>
      </c>
      <c r="E73" s="177">
        <f t="shared" si="4"/>
        <v>0</v>
      </c>
      <c r="F73" s="162">
        <f t="shared" si="5"/>
        <v>0</v>
      </c>
      <c r="G73" s="162">
        <f t="shared" si="6"/>
        <v>0</v>
      </c>
      <c r="H73" s="162">
        <f t="shared" si="7"/>
        <v>0</v>
      </c>
      <c r="I73" s="162">
        <f t="shared" si="8"/>
        <v>0</v>
      </c>
      <c r="J73" s="162">
        <f t="shared" si="9"/>
        <v>0</v>
      </c>
      <c r="K73" s="162">
        <f t="shared" si="10"/>
        <v>0</v>
      </c>
      <c r="L73" s="162">
        <f t="shared" si="11"/>
        <v>0</v>
      </c>
      <c r="M73" s="162">
        <f t="shared" si="12"/>
        <v>0</v>
      </c>
      <c r="N73" s="162">
        <f t="shared" si="13"/>
        <v>0</v>
      </c>
      <c r="O73" s="162">
        <f t="shared" si="14"/>
        <v>0</v>
      </c>
      <c r="P73" s="162">
        <f t="shared" si="15"/>
        <v>0</v>
      </c>
      <c r="Q73" s="162">
        <f t="shared" si="16"/>
        <v>3400</v>
      </c>
      <c r="R73" s="202">
        <f t="shared" si="17"/>
        <v>0</v>
      </c>
      <c r="S73" s="215"/>
      <c r="T73" s="195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>
        <v>1</v>
      </c>
      <c r="AG73" s="168"/>
      <c r="AH73" s="186">
        <f t="shared" si="19"/>
        <v>1</v>
      </c>
    </row>
    <row r="74" spans="1:34" ht="12">
      <c r="A74" s="264">
        <v>6270000002</v>
      </c>
      <c r="B74" s="259" t="s">
        <v>110</v>
      </c>
      <c r="C74" s="142">
        <v>18700</v>
      </c>
      <c r="D74" s="182">
        <f t="shared" si="18"/>
        <v>18700</v>
      </c>
      <c r="E74" s="177">
        <f t="shared" si="4"/>
        <v>0</v>
      </c>
      <c r="F74" s="162">
        <f t="shared" si="5"/>
        <v>0</v>
      </c>
      <c r="G74" s="162">
        <f t="shared" si="6"/>
        <v>0</v>
      </c>
      <c r="H74" s="162">
        <f t="shared" si="7"/>
        <v>0</v>
      </c>
      <c r="I74" s="162">
        <f t="shared" si="8"/>
        <v>0</v>
      </c>
      <c r="J74" s="162">
        <f t="shared" si="9"/>
        <v>0</v>
      </c>
      <c r="K74" s="162">
        <f t="shared" si="10"/>
        <v>0</v>
      </c>
      <c r="L74" s="162">
        <f t="shared" si="11"/>
        <v>0</v>
      </c>
      <c r="M74" s="162">
        <f t="shared" si="12"/>
        <v>0</v>
      </c>
      <c r="N74" s="162">
        <f t="shared" si="13"/>
        <v>0</v>
      </c>
      <c r="O74" s="162">
        <f t="shared" si="14"/>
        <v>0</v>
      </c>
      <c r="P74" s="162">
        <f t="shared" si="15"/>
        <v>18700</v>
      </c>
      <c r="Q74" s="162">
        <f t="shared" si="16"/>
        <v>0</v>
      </c>
      <c r="R74" s="202">
        <f t="shared" si="17"/>
        <v>0</v>
      </c>
      <c r="S74" s="215"/>
      <c r="T74" s="195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>
        <v>1</v>
      </c>
      <c r="AF74" s="168"/>
      <c r="AG74" s="168"/>
      <c r="AH74" s="186">
        <f t="shared" si="19"/>
        <v>1</v>
      </c>
    </row>
    <row r="75" spans="1:34" ht="12">
      <c r="A75" s="264">
        <v>6280000001</v>
      </c>
      <c r="B75" s="264" t="s">
        <v>5</v>
      </c>
      <c r="C75" s="143">
        <v>28470</v>
      </c>
      <c r="D75" s="182">
        <f t="shared" si="18"/>
        <v>28470</v>
      </c>
      <c r="E75" s="177">
        <f t="shared" si="4"/>
        <v>5124.5999999999995</v>
      </c>
      <c r="F75" s="162">
        <f t="shared" si="5"/>
        <v>7117.5</v>
      </c>
      <c r="G75" s="162">
        <f t="shared" si="6"/>
        <v>2277.6</v>
      </c>
      <c r="H75" s="162">
        <f t="shared" si="7"/>
        <v>6263.4</v>
      </c>
      <c r="I75" s="162">
        <f t="shared" si="8"/>
        <v>1708.2</v>
      </c>
      <c r="J75" s="162">
        <f t="shared" si="9"/>
        <v>3131.7</v>
      </c>
      <c r="K75" s="162">
        <f t="shared" si="10"/>
        <v>2847</v>
      </c>
      <c r="L75" s="162">
        <f t="shared" si="11"/>
        <v>0</v>
      </c>
      <c r="M75" s="162">
        <f t="shared" si="12"/>
        <v>0</v>
      </c>
      <c r="N75" s="162">
        <f t="shared" si="13"/>
        <v>0</v>
      </c>
      <c r="O75" s="162">
        <f t="shared" si="14"/>
        <v>0</v>
      </c>
      <c r="P75" s="162">
        <f t="shared" si="15"/>
        <v>0</v>
      </c>
      <c r="Q75" s="162">
        <f t="shared" si="16"/>
        <v>0</v>
      </c>
      <c r="R75" s="202">
        <f t="shared" si="17"/>
        <v>0</v>
      </c>
      <c r="S75" s="215"/>
      <c r="T75" s="195">
        <v>0.18</v>
      </c>
      <c r="U75" s="168">
        <v>0.25</v>
      </c>
      <c r="V75" s="168">
        <v>0.08</v>
      </c>
      <c r="W75" s="168">
        <v>0.22</v>
      </c>
      <c r="X75" s="168">
        <v>0.06</v>
      </c>
      <c r="Y75" s="168">
        <v>0.11</v>
      </c>
      <c r="Z75" s="168">
        <v>0.1</v>
      </c>
      <c r="AA75" s="168"/>
      <c r="AB75" s="168"/>
      <c r="AC75" s="168"/>
      <c r="AD75" s="168"/>
      <c r="AE75" s="168"/>
      <c r="AF75" s="168"/>
      <c r="AG75" s="168"/>
      <c r="AH75" s="186">
        <f t="shared" si="19"/>
        <v>1</v>
      </c>
    </row>
    <row r="76" spans="1:34" ht="12">
      <c r="A76" s="264">
        <v>6290000002</v>
      </c>
      <c r="B76" s="264" t="s">
        <v>6</v>
      </c>
      <c r="C76" s="143">
        <v>137</v>
      </c>
      <c r="D76" s="182">
        <f t="shared" si="18"/>
        <v>137</v>
      </c>
      <c r="E76" s="177">
        <f t="shared" si="4"/>
        <v>0</v>
      </c>
      <c r="F76" s="162">
        <f t="shared" si="5"/>
        <v>0</v>
      </c>
      <c r="G76" s="162">
        <f t="shared" si="6"/>
        <v>0</v>
      </c>
      <c r="H76" s="162">
        <f t="shared" si="7"/>
        <v>0</v>
      </c>
      <c r="I76" s="162">
        <f t="shared" si="8"/>
        <v>0</v>
      </c>
      <c r="J76" s="162">
        <f t="shared" si="9"/>
        <v>0</v>
      </c>
      <c r="K76" s="162">
        <f t="shared" si="10"/>
        <v>0</v>
      </c>
      <c r="L76" s="162">
        <f t="shared" si="11"/>
        <v>0</v>
      </c>
      <c r="M76" s="162">
        <f t="shared" si="12"/>
        <v>137</v>
      </c>
      <c r="N76" s="162">
        <f t="shared" si="13"/>
        <v>0</v>
      </c>
      <c r="O76" s="162">
        <f t="shared" si="14"/>
        <v>0</v>
      </c>
      <c r="P76" s="162">
        <f t="shared" si="15"/>
        <v>0</v>
      </c>
      <c r="Q76" s="162">
        <f t="shared" si="16"/>
        <v>0</v>
      </c>
      <c r="R76" s="202">
        <f t="shared" si="17"/>
        <v>0</v>
      </c>
      <c r="S76" s="215"/>
      <c r="T76" s="195"/>
      <c r="U76" s="168"/>
      <c r="V76" s="168"/>
      <c r="W76" s="168"/>
      <c r="X76" s="168"/>
      <c r="Y76" s="168"/>
      <c r="Z76" s="168"/>
      <c r="AA76" s="168"/>
      <c r="AB76" s="168">
        <v>1</v>
      </c>
      <c r="AC76" s="168"/>
      <c r="AD76" s="168"/>
      <c r="AE76" s="168"/>
      <c r="AF76" s="168"/>
      <c r="AG76" s="168"/>
      <c r="AH76" s="186">
        <f t="shared" si="19"/>
        <v>1</v>
      </c>
    </row>
    <row r="77" spans="1:34" ht="12">
      <c r="A77" s="264">
        <v>6290000006</v>
      </c>
      <c r="B77" s="264" t="s">
        <v>7</v>
      </c>
      <c r="C77" s="143">
        <v>5310</v>
      </c>
      <c r="D77" s="182">
        <f t="shared" si="18"/>
        <v>5310</v>
      </c>
      <c r="E77" s="177">
        <f t="shared" si="4"/>
        <v>0</v>
      </c>
      <c r="F77" s="162">
        <f t="shared" si="5"/>
        <v>0</v>
      </c>
      <c r="G77" s="162">
        <f t="shared" si="6"/>
        <v>0</v>
      </c>
      <c r="H77" s="162">
        <f t="shared" si="7"/>
        <v>0</v>
      </c>
      <c r="I77" s="162">
        <f t="shared" si="8"/>
        <v>0</v>
      </c>
      <c r="J77" s="162">
        <f t="shared" si="9"/>
        <v>0</v>
      </c>
      <c r="K77" s="162">
        <f t="shared" si="10"/>
        <v>0</v>
      </c>
      <c r="L77" s="162">
        <f t="shared" si="11"/>
        <v>0</v>
      </c>
      <c r="M77" s="162">
        <f t="shared" si="12"/>
        <v>0</v>
      </c>
      <c r="N77" s="162">
        <f t="shared" si="13"/>
        <v>5310</v>
      </c>
      <c r="O77" s="162">
        <f t="shared" si="14"/>
        <v>0</v>
      </c>
      <c r="P77" s="162">
        <f t="shared" si="15"/>
        <v>0</v>
      </c>
      <c r="Q77" s="163">
        <f t="shared" si="16"/>
        <v>0</v>
      </c>
      <c r="R77" s="202">
        <f t="shared" si="17"/>
        <v>0</v>
      </c>
      <c r="S77" s="215"/>
      <c r="T77" s="195"/>
      <c r="U77" s="168"/>
      <c r="V77" s="168"/>
      <c r="W77" s="168"/>
      <c r="X77" s="168"/>
      <c r="Y77" s="168"/>
      <c r="Z77" s="168"/>
      <c r="AA77" s="168"/>
      <c r="AB77" s="168"/>
      <c r="AC77" s="168">
        <v>1</v>
      </c>
      <c r="AD77" s="168"/>
      <c r="AE77" s="168"/>
      <c r="AF77" s="168"/>
      <c r="AG77" s="168"/>
      <c r="AH77" s="186">
        <f t="shared" si="19"/>
        <v>1</v>
      </c>
    </row>
    <row r="78" spans="1:34" ht="12">
      <c r="A78" s="264">
        <v>6290000007</v>
      </c>
      <c r="B78" s="264" t="s">
        <v>8</v>
      </c>
      <c r="C78" s="143">
        <v>429.9</v>
      </c>
      <c r="D78" s="182">
        <f t="shared" si="18"/>
        <v>429.9</v>
      </c>
      <c r="E78" s="177">
        <f t="shared" si="4"/>
        <v>0</v>
      </c>
      <c r="F78" s="162">
        <f t="shared" si="5"/>
        <v>0</v>
      </c>
      <c r="G78" s="162">
        <f t="shared" si="6"/>
        <v>0</v>
      </c>
      <c r="H78" s="162">
        <f t="shared" si="7"/>
        <v>0</v>
      </c>
      <c r="I78" s="162">
        <f t="shared" si="8"/>
        <v>0</v>
      </c>
      <c r="J78" s="162">
        <f t="shared" si="9"/>
        <v>0</v>
      </c>
      <c r="K78" s="162">
        <f t="shared" si="10"/>
        <v>0</v>
      </c>
      <c r="L78" s="162">
        <f t="shared" si="11"/>
        <v>0</v>
      </c>
      <c r="M78" s="162">
        <f t="shared" si="12"/>
        <v>0</v>
      </c>
      <c r="N78" s="162">
        <f t="shared" si="13"/>
        <v>429.9</v>
      </c>
      <c r="O78" s="162">
        <f t="shared" si="14"/>
        <v>0</v>
      </c>
      <c r="P78" s="162">
        <f t="shared" si="15"/>
        <v>0</v>
      </c>
      <c r="Q78" s="163">
        <f t="shared" si="16"/>
        <v>0</v>
      </c>
      <c r="R78" s="202">
        <f t="shared" si="17"/>
        <v>0</v>
      </c>
      <c r="S78" s="215"/>
      <c r="T78" s="195"/>
      <c r="U78" s="168"/>
      <c r="V78" s="168"/>
      <c r="W78" s="168"/>
      <c r="X78" s="168"/>
      <c r="Y78" s="168"/>
      <c r="Z78" s="168"/>
      <c r="AA78" s="168"/>
      <c r="AB78" s="168"/>
      <c r="AC78" s="168">
        <v>1</v>
      </c>
      <c r="AD78" s="168"/>
      <c r="AE78" s="168"/>
      <c r="AF78" s="168"/>
      <c r="AG78" s="168"/>
      <c r="AH78" s="186">
        <f t="shared" si="19"/>
        <v>1</v>
      </c>
    </row>
    <row r="79" spans="1:34" ht="12">
      <c r="A79" s="264">
        <v>6290000012</v>
      </c>
      <c r="B79" s="264" t="s">
        <v>131</v>
      </c>
      <c r="C79" s="143">
        <v>1350</v>
      </c>
      <c r="D79" s="182">
        <f t="shared" si="18"/>
        <v>1350</v>
      </c>
      <c r="E79" s="177">
        <f t="shared" si="4"/>
        <v>0</v>
      </c>
      <c r="F79" s="162">
        <f t="shared" si="5"/>
        <v>0</v>
      </c>
      <c r="G79" s="162">
        <f t="shared" si="6"/>
        <v>0</v>
      </c>
      <c r="H79" s="162">
        <f t="shared" si="7"/>
        <v>0</v>
      </c>
      <c r="I79" s="162">
        <f t="shared" si="8"/>
        <v>0</v>
      </c>
      <c r="J79" s="162">
        <f t="shared" si="9"/>
        <v>675</v>
      </c>
      <c r="K79" s="162">
        <f t="shared" si="10"/>
        <v>675</v>
      </c>
      <c r="L79" s="162">
        <f t="shared" si="11"/>
        <v>0</v>
      </c>
      <c r="M79" s="162">
        <f t="shared" si="12"/>
        <v>0</v>
      </c>
      <c r="N79" s="162"/>
      <c r="O79" s="162">
        <f t="shared" si="14"/>
        <v>0</v>
      </c>
      <c r="P79" s="162">
        <f t="shared" si="15"/>
        <v>0</v>
      </c>
      <c r="Q79" s="163">
        <f t="shared" si="16"/>
        <v>0</v>
      </c>
      <c r="R79" s="202">
        <f t="shared" si="17"/>
        <v>0</v>
      </c>
      <c r="S79" s="215"/>
      <c r="T79" s="195"/>
      <c r="U79" s="168"/>
      <c r="V79" s="168"/>
      <c r="W79" s="168"/>
      <c r="X79" s="168"/>
      <c r="Y79" s="168">
        <v>0.5</v>
      </c>
      <c r="Z79" s="168">
        <v>0.5</v>
      </c>
      <c r="AA79" s="168"/>
      <c r="AB79" s="168"/>
      <c r="AC79" s="168"/>
      <c r="AD79" s="168"/>
      <c r="AE79" s="168"/>
      <c r="AF79" s="168"/>
      <c r="AG79" s="168"/>
      <c r="AH79" s="186"/>
    </row>
    <row r="80" spans="1:34" ht="12">
      <c r="A80" s="264">
        <v>6400000001</v>
      </c>
      <c r="B80" s="264" t="s">
        <v>137</v>
      </c>
      <c r="C80" s="143">
        <v>4800</v>
      </c>
      <c r="D80" s="183">
        <f>+'horas pers'!E8</f>
        <v>6428.5619248253688</v>
      </c>
      <c r="E80" s="177">
        <f t="shared" si="4"/>
        <v>0</v>
      </c>
      <c r="F80" s="162">
        <f t="shared" si="5"/>
        <v>0</v>
      </c>
      <c r="G80" s="162">
        <f t="shared" si="6"/>
        <v>0</v>
      </c>
      <c r="H80" s="162">
        <f t="shared" si="7"/>
        <v>0</v>
      </c>
      <c r="I80" s="162">
        <f t="shared" si="8"/>
        <v>0</v>
      </c>
      <c r="J80" s="162">
        <f t="shared" si="9"/>
        <v>0</v>
      </c>
      <c r="K80" s="162">
        <f t="shared" si="10"/>
        <v>0</v>
      </c>
      <c r="L80" s="162">
        <f t="shared" si="11"/>
        <v>6428.5619248253688</v>
      </c>
      <c r="M80" s="162">
        <f t="shared" si="12"/>
        <v>0</v>
      </c>
      <c r="N80" s="162">
        <f t="shared" si="13"/>
        <v>0</v>
      </c>
      <c r="O80" s="162">
        <f t="shared" si="14"/>
        <v>0</v>
      </c>
      <c r="P80" s="162">
        <f t="shared" si="15"/>
        <v>0</v>
      </c>
      <c r="Q80" s="162">
        <f t="shared" si="16"/>
        <v>0</v>
      </c>
      <c r="R80" s="202">
        <f t="shared" si="17"/>
        <v>0</v>
      </c>
      <c r="S80" s="215"/>
      <c r="T80" s="195">
        <f>+'horas pers'!H8/'horas pers'!$V8</f>
        <v>0</v>
      </c>
      <c r="U80" s="168">
        <f>+'horas pers'!I8/'horas pers'!$V8</f>
        <v>0</v>
      </c>
      <c r="V80" s="168">
        <f>+'horas pers'!J8/'horas pers'!$V8</f>
        <v>0</v>
      </c>
      <c r="W80" s="168">
        <f>+'horas pers'!K8/'horas pers'!$V8</f>
        <v>0</v>
      </c>
      <c r="X80" s="168">
        <f>+'horas pers'!L8/'horas pers'!$V8</f>
        <v>0</v>
      </c>
      <c r="Y80" s="168">
        <f>+'horas pers'!M8/'horas pers'!$V8</f>
        <v>0</v>
      </c>
      <c r="Z80" s="168">
        <f>+'horas pers'!N8/'horas pers'!$V8</f>
        <v>0</v>
      </c>
      <c r="AA80" s="168">
        <f>+'horas pers'!O8/'horas pers'!$V8</f>
        <v>1</v>
      </c>
      <c r="AB80" s="168">
        <f>+'horas pers'!P8/'horas pers'!$V8</f>
        <v>0</v>
      </c>
      <c r="AC80" s="168">
        <f>+'horas pers'!Q8/'horas pers'!$V8</f>
        <v>0</v>
      </c>
      <c r="AD80" s="168">
        <f>+'horas pers'!R8/'horas pers'!$V8</f>
        <v>0</v>
      </c>
      <c r="AE80" s="168">
        <f>+'horas pers'!S8/'horas pers'!$V8</f>
        <v>0</v>
      </c>
      <c r="AF80" s="168">
        <f>+'horas pers'!T8/'horas pers'!$V8</f>
        <v>0</v>
      </c>
      <c r="AG80" s="168">
        <f>+'horas pers'!U8/'horas pers'!$V8</f>
        <v>0</v>
      </c>
      <c r="AH80" s="186">
        <f t="shared" si="19"/>
        <v>1</v>
      </c>
    </row>
    <row r="81" spans="1:34" ht="12">
      <c r="A81" s="264">
        <v>6400000002</v>
      </c>
      <c r="B81" s="264" t="s">
        <v>138</v>
      </c>
      <c r="C81" s="143">
        <v>3900</v>
      </c>
      <c r="D81" s="183">
        <f>+'horas pers'!E9</f>
        <v>5223.2065639206121</v>
      </c>
      <c r="E81" s="177">
        <f t="shared" si="4"/>
        <v>0</v>
      </c>
      <c r="F81" s="162">
        <f t="shared" si="5"/>
        <v>0</v>
      </c>
      <c r="G81" s="162">
        <f t="shared" si="6"/>
        <v>0</v>
      </c>
      <c r="H81" s="162">
        <f t="shared" si="7"/>
        <v>0</v>
      </c>
      <c r="I81" s="162">
        <f t="shared" si="8"/>
        <v>0</v>
      </c>
      <c r="J81" s="162">
        <f t="shared" si="9"/>
        <v>0</v>
      </c>
      <c r="K81" s="162">
        <f t="shared" si="10"/>
        <v>0</v>
      </c>
      <c r="L81" s="162">
        <f t="shared" si="11"/>
        <v>1187.0924008910481</v>
      </c>
      <c r="M81" s="162">
        <f t="shared" si="12"/>
        <v>4036.1141630295638</v>
      </c>
      <c r="N81" s="162">
        <f t="shared" si="13"/>
        <v>0</v>
      </c>
      <c r="O81" s="162">
        <f t="shared" si="14"/>
        <v>0</v>
      </c>
      <c r="P81" s="162">
        <f t="shared" si="15"/>
        <v>0</v>
      </c>
      <c r="Q81" s="162">
        <f t="shared" si="16"/>
        <v>0</v>
      </c>
      <c r="R81" s="202">
        <f t="shared" si="17"/>
        <v>0</v>
      </c>
      <c r="S81" s="215"/>
      <c r="T81" s="195">
        <f>+'horas pers'!H9/'horas pers'!$V9</f>
        <v>0</v>
      </c>
      <c r="U81" s="168">
        <f>+'horas pers'!I9/'horas pers'!$V9</f>
        <v>0</v>
      </c>
      <c r="V81" s="168">
        <f>+'horas pers'!J9/'horas pers'!$V9</f>
        <v>0</v>
      </c>
      <c r="W81" s="168">
        <f>+'horas pers'!K9/'horas pers'!$V9</f>
        <v>0</v>
      </c>
      <c r="X81" s="168">
        <f>+'horas pers'!L9/'horas pers'!$V9</f>
        <v>0</v>
      </c>
      <c r="Y81" s="168">
        <f>+'horas pers'!M9/'horas pers'!$V9</f>
        <v>0</v>
      </c>
      <c r="Z81" s="168">
        <f>+'horas pers'!N9/'horas pers'!$V9</f>
        <v>0</v>
      </c>
      <c r="AA81" s="168">
        <f>+'horas pers'!O9/'horas pers'!$V9</f>
        <v>0.22727272727272727</v>
      </c>
      <c r="AB81" s="168">
        <f>+'horas pers'!P9/'horas pers'!$V9</f>
        <v>0.77272727272727271</v>
      </c>
      <c r="AC81" s="168">
        <f>+'horas pers'!Q9/'horas pers'!$V9</f>
        <v>0</v>
      </c>
      <c r="AD81" s="168">
        <f>+'horas pers'!R9/'horas pers'!$V9</f>
        <v>0</v>
      </c>
      <c r="AE81" s="168">
        <f>+'horas pers'!S9/'horas pers'!$V9</f>
        <v>0</v>
      </c>
      <c r="AF81" s="168">
        <f>+'horas pers'!T9/'horas pers'!$V9</f>
        <v>0</v>
      </c>
      <c r="AG81" s="168">
        <f>+'horas pers'!U9/'horas pers'!$V9</f>
        <v>0</v>
      </c>
      <c r="AH81" s="186">
        <f t="shared" si="19"/>
        <v>1</v>
      </c>
    </row>
    <row r="82" spans="1:34" ht="12">
      <c r="A82" s="264">
        <v>6400000003</v>
      </c>
      <c r="B82" s="264" t="s">
        <v>139</v>
      </c>
      <c r="C82" s="143">
        <v>3700</v>
      </c>
      <c r="D82" s="183">
        <f>+'horas pers'!E10</f>
        <v>4955.3498170528883</v>
      </c>
      <c r="E82" s="177">
        <f t="shared" si="4"/>
        <v>0</v>
      </c>
      <c r="F82" s="162">
        <f t="shared" si="5"/>
        <v>0</v>
      </c>
      <c r="G82" s="162">
        <f t="shared" si="6"/>
        <v>0</v>
      </c>
      <c r="H82" s="162">
        <f t="shared" si="7"/>
        <v>0</v>
      </c>
      <c r="I82" s="162">
        <f t="shared" si="8"/>
        <v>0</v>
      </c>
      <c r="J82" s="162">
        <f t="shared" si="9"/>
        <v>0</v>
      </c>
      <c r="K82" s="162">
        <f t="shared" si="10"/>
        <v>0</v>
      </c>
      <c r="L82" s="162">
        <f t="shared" si="11"/>
        <v>0</v>
      </c>
      <c r="M82" s="162">
        <f t="shared" si="12"/>
        <v>0</v>
      </c>
      <c r="N82" s="162">
        <f t="shared" si="13"/>
        <v>0</v>
      </c>
      <c r="O82" s="162">
        <f t="shared" si="14"/>
        <v>3378.6476025360598</v>
      </c>
      <c r="P82" s="162">
        <f t="shared" si="15"/>
        <v>563.10793375600997</v>
      </c>
      <c r="Q82" s="162">
        <f t="shared" si="16"/>
        <v>1013.5942807608182</v>
      </c>
      <c r="R82" s="202">
        <f t="shared" si="17"/>
        <v>0</v>
      </c>
      <c r="S82" s="215"/>
      <c r="T82" s="195">
        <f>+'horas pers'!H10/'horas pers'!$V10</f>
        <v>0</v>
      </c>
      <c r="U82" s="168">
        <f>+'horas pers'!I10/'horas pers'!$V10</f>
        <v>0</v>
      </c>
      <c r="V82" s="168">
        <f>+'horas pers'!J10/'horas pers'!$V10</f>
        <v>0</v>
      </c>
      <c r="W82" s="168">
        <f>+'horas pers'!K10/'horas pers'!$V10</f>
        <v>0</v>
      </c>
      <c r="X82" s="168">
        <f>+'horas pers'!L10/'horas pers'!$V10</f>
        <v>0</v>
      </c>
      <c r="Y82" s="168">
        <f>+'horas pers'!M10/'horas pers'!$V10</f>
        <v>0</v>
      </c>
      <c r="Z82" s="168">
        <f>+'horas pers'!N10/'horas pers'!$V10</f>
        <v>0</v>
      </c>
      <c r="AA82" s="168">
        <f>+'horas pers'!O10/'horas pers'!$V10</f>
        <v>0</v>
      </c>
      <c r="AB82" s="168">
        <f>+'horas pers'!P10/'horas pers'!$V10</f>
        <v>0</v>
      </c>
      <c r="AC82" s="168">
        <f>+'horas pers'!Q10/'horas pers'!$V10</f>
        <v>0</v>
      </c>
      <c r="AD82" s="168">
        <f>+'horas pers'!R10/'horas pers'!$V10</f>
        <v>0.68181818181818177</v>
      </c>
      <c r="AE82" s="168">
        <f>+'horas pers'!S10/'horas pers'!$V10</f>
        <v>0.11363636363636363</v>
      </c>
      <c r="AF82" s="168">
        <f>+'horas pers'!T10/'horas pers'!$V10</f>
        <v>0.20454545454545456</v>
      </c>
      <c r="AG82" s="168">
        <f>+'horas pers'!U10/'horas pers'!$V10</f>
        <v>0</v>
      </c>
      <c r="AH82" s="186">
        <f t="shared" si="19"/>
        <v>1</v>
      </c>
    </row>
    <row r="83" spans="1:34" ht="12">
      <c r="A83" s="264">
        <v>6400000004</v>
      </c>
      <c r="B83" s="264" t="s">
        <v>140</v>
      </c>
      <c r="C83" s="143">
        <v>2650</v>
      </c>
      <c r="D83" s="183">
        <f>+'horas pers'!E11</f>
        <v>3549.1018959973389</v>
      </c>
      <c r="E83" s="177">
        <f t="shared" si="4"/>
        <v>0</v>
      </c>
      <c r="F83" s="162">
        <f t="shared" si="5"/>
        <v>0</v>
      </c>
      <c r="G83" s="162">
        <f t="shared" si="6"/>
        <v>0</v>
      </c>
      <c r="H83" s="162">
        <f t="shared" si="7"/>
        <v>0</v>
      </c>
      <c r="I83" s="162">
        <f t="shared" si="8"/>
        <v>0</v>
      </c>
      <c r="J83" s="162">
        <f t="shared" si="9"/>
        <v>0</v>
      </c>
      <c r="K83" s="162">
        <f t="shared" si="10"/>
        <v>0</v>
      </c>
      <c r="L83" s="162">
        <f t="shared" si="11"/>
        <v>0</v>
      </c>
      <c r="M83" s="162">
        <f t="shared" si="12"/>
        <v>0</v>
      </c>
      <c r="N83" s="162">
        <f t="shared" si="13"/>
        <v>0</v>
      </c>
      <c r="O83" s="162">
        <f t="shared" si="14"/>
        <v>3024.8027522704592</v>
      </c>
      <c r="P83" s="162">
        <f t="shared" si="15"/>
        <v>524.29914372687961</v>
      </c>
      <c r="Q83" s="162">
        <f t="shared" si="16"/>
        <v>0</v>
      </c>
      <c r="R83" s="202">
        <f t="shared" si="17"/>
        <v>0</v>
      </c>
      <c r="S83" s="215"/>
      <c r="T83" s="195">
        <f>+'horas pers'!H11/'horas pers'!$V11</f>
        <v>0</v>
      </c>
      <c r="U83" s="168">
        <f>+'horas pers'!I11/'horas pers'!$V11</f>
        <v>0</v>
      </c>
      <c r="V83" s="168">
        <f>+'horas pers'!J11/'horas pers'!$V11</f>
        <v>0</v>
      </c>
      <c r="W83" s="168">
        <f>+'horas pers'!K11/'horas pers'!$V11</f>
        <v>0</v>
      </c>
      <c r="X83" s="168">
        <f>+'horas pers'!L11/'horas pers'!$V11</f>
        <v>0</v>
      </c>
      <c r="Y83" s="168">
        <f>+'horas pers'!M11/'horas pers'!$V11</f>
        <v>0</v>
      </c>
      <c r="Z83" s="168">
        <f>+'horas pers'!N11/'horas pers'!$V11</f>
        <v>0</v>
      </c>
      <c r="AA83" s="168">
        <f>+'horas pers'!O11/'horas pers'!$V11</f>
        <v>0</v>
      </c>
      <c r="AB83" s="168">
        <f>+'horas pers'!P11/'horas pers'!$V11</f>
        <v>0</v>
      </c>
      <c r="AC83" s="168">
        <f>+'horas pers'!Q11/'horas pers'!$V11</f>
        <v>0</v>
      </c>
      <c r="AD83" s="168">
        <f>+'horas pers'!R11/'horas pers'!$V11</f>
        <v>0.85227272727272729</v>
      </c>
      <c r="AE83" s="168">
        <f>+'horas pers'!S11/'horas pers'!$V11</f>
        <v>0.14772727272727273</v>
      </c>
      <c r="AF83" s="168">
        <f>+'horas pers'!T11/'horas pers'!$V11</f>
        <v>0</v>
      </c>
      <c r="AG83" s="168">
        <f>+'horas pers'!U11/'horas pers'!$V11</f>
        <v>0</v>
      </c>
      <c r="AH83" s="186">
        <f t="shared" si="19"/>
        <v>1</v>
      </c>
    </row>
    <row r="84" spans="1:34" ht="12">
      <c r="A84" s="264">
        <v>6400000005</v>
      </c>
      <c r="B84" s="264" t="s">
        <v>141</v>
      </c>
      <c r="C84" s="143">
        <v>2314</v>
      </c>
      <c r="D84" s="183">
        <f>+'horas pers'!E12</f>
        <v>3099.1025612595631</v>
      </c>
      <c r="E84" s="177">
        <f t="shared" si="4"/>
        <v>0</v>
      </c>
      <c r="F84" s="162">
        <f t="shared" si="5"/>
        <v>0</v>
      </c>
      <c r="G84" s="162">
        <f t="shared" si="6"/>
        <v>0</v>
      </c>
      <c r="H84" s="162">
        <f t="shared" si="7"/>
        <v>0</v>
      </c>
      <c r="I84" s="162">
        <f t="shared" si="8"/>
        <v>0</v>
      </c>
      <c r="J84" s="162">
        <f t="shared" si="9"/>
        <v>0</v>
      </c>
      <c r="K84" s="162">
        <f t="shared" si="10"/>
        <v>0</v>
      </c>
      <c r="L84" s="162">
        <f t="shared" si="11"/>
        <v>0</v>
      </c>
      <c r="M84" s="162">
        <f t="shared" si="12"/>
        <v>0</v>
      </c>
      <c r="N84" s="162">
        <f t="shared" si="13"/>
        <v>0</v>
      </c>
      <c r="O84" s="162">
        <f t="shared" si="14"/>
        <v>3099.1025612595631</v>
      </c>
      <c r="P84" s="162">
        <f t="shared" si="15"/>
        <v>0</v>
      </c>
      <c r="Q84" s="162">
        <f t="shared" si="16"/>
        <v>0</v>
      </c>
      <c r="R84" s="202">
        <f t="shared" si="17"/>
        <v>0</v>
      </c>
      <c r="S84" s="215"/>
      <c r="T84" s="195">
        <f>+'horas pers'!H12/'horas pers'!$V12</f>
        <v>0</v>
      </c>
      <c r="U84" s="168">
        <f>+'horas pers'!I12/'horas pers'!$V12</f>
        <v>0</v>
      </c>
      <c r="V84" s="168">
        <f>+'horas pers'!J12/'horas pers'!$V12</f>
        <v>0</v>
      </c>
      <c r="W84" s="168">
        <f>+'horas pers'!K12/'horas pers'!$V12</f>
        <v>0</v>
      </c>
      <c r="X84" s="168">
        <f>+'horas pers'!L12/'horas pers'!$V12</f>
        <v>0</v>
      </c>
      <c r="Y84" s="168">
        <f>+'horas pers'!M12/'horas pers'!$V12</f>
        <v>0</v>
      </c>
      <c r="Z84" s="168">
        <f>+'horas pers'!N12/'horas pers'!$V12</f>
        <v>0</v>
      </c>
      <c r="AA84" s="168">
        <f>+'horas pers'!O12/'horas pers'!$V12</f>
        <v>0</v>
      </c>
      <c r="AB84" s="168">
        <f>+'horas pers'!P12/'horas pers'!$V12</f>
        <v>0</v>
      </c>
      <c r="AC84" s="168">
        <f>+'horas pers'!Q12/'horas pers'!$V12</f>
        <v>0</v>
      </c>
      <c r="AD84" s="168">
        <f>+'horas pers'!R12/'horas pers'!$V12</f>
        <v>1</v>
      </c>
      <c r="AE84" s="168">
        <f>+'horas pers'!S12/'horas pers'!$V12</f>
        <v>0</v>
      </c>
      <c r="AF84" s="168">
        <f>+'horas pers'!T12/'horas pers'!$V12</f>
        <v>0</v>
      </c>
      <c r="AG84" s="168">
        <f>+'horas pers'!U12/'horas pers'!$V12</f>
        <v>0</v>
      </c>
      <c r="AH84" s="186">
        <f t="shared" si="19"/>
        <v>1</v>
      </c>
    </row>
    <row r="85" spans="1:34" ht="12">
      <c r="A85" s="264">
        <v>6400000006</v>
      </c>
      <c r="B85" s="264" t="s">
        <v>142</v>
      </c>
      <c r="C85" s="143">
        <v>3400</v>
      </c>
      <c r="D85" s="183">
        <f>+'horas pers'!E13</f>
        <v>4553.564696751303</v>
      </c>
      <c r="E85" s="177">
        <f t="shared" si="4"/>
        <v>523.39824100589692</v>
      </c>
      <c r="F85" s="162">
        <f t="shared" si="5"/>
        <v>654.24780125737107</v>
      </c>
      <c r="G85" s="162">
        <f t="shared" si="6"/>
        <v>889.7770097100248</v>
      </c>
      <c r="H85" s="162">
        <f t="shared" si="7"/>
        <v>444.8885048550124</v>
      </c>
      <c r="I85" s="162">
        <f t="shared" si="8"/>
        <v>758.92744945855043</v>
      </c>
      <c r="J85" s="162">
        <f t="shared" si="9"/>
        <v>628.07788920707628</v>
      </c>
      <c r="K85" s="162">
        <f t="shared" si="10"/>
        <v>654.24780125737107</v>
      </c>
      <c r="L85" s="162">
        <f t="shared" si="11"/>
        <v>0</v>
      </c>
      <c r="M85" s="162">
        <f t="shared" si="12"/>
        <v>0</v>
      </c>
      <c r="N85" s="162">
        <f t="shared" si="13"/>
        <v>0</v>
      </c>
      <c r="O85" s="162">
        <f t="shared" si="14"/>
        <v>0</v>
      </c>
      <c r="P85" s="162">
        <f t="shared" si="15"/>
        <v>0</v>
      </c>
      <c r="Q85" s="162">
        <f t="shared" si="16"/>
        <v>0</v>
      </c>
      <c r="R85" s="202">
        <f t="shared" si="17"/>
        <v>0</v>
      </c>
      <c r="S85" s="215"/>
      <c r="T85" s="195">
        <f>+'horas pers'!H13/'horas pers'!$V13</f>
        <v>0.11494252873563218</v>
      </c>
      <c r="U85" s="168">
        <f>+'horas pers'!I13/'horas pers'!$V13</f>
        <v>0.14367816091954022</v>
      </c>
      <c r="V85" s="168">
        <f>+'horas pers'!J13/'horas pers'!$V13</f>
        <v>0.19540229885057472</v>
      </c>
      <c r="W85" s="168">
        <f>+'horas pers'!K13/'horas pers'!$V13</f>
        <v>9.7701149425287362E-2</v>
      </c>
      <c r="X85" s="168">
        <f>+'horas pers'!L13/'horas pers'!$V13</f>
        <v>0.16666666666666666</v>
      </c>
      <c r="Y85" s="168">
        <f>+'horas pers'!M13/'horas pers'!$V13</f>
        <v>0.13793103448275862</v>
      </c>
      <c r="Z85" s="168">
        <f>+'horas pers'!N13/'horas pers'!$V13</f>
        <v>0.14367816091954022</v>
      </c>
      <c r="AA85" s="168">
        <f>+'horas pers'!O13/'horas pers'!$V13</f>
        <v>0</v>
      </c>
      <c r="AB85" s="168">
        <f>+'horas pers'!P13/'horas pers'!$V13</f>
        <v>0</v>
      </c>
      <c r="AC85" s="168">
        <f>+'horas pers'!Q13/'horas pers'!$V13</f>
        <v>0</v>
      </c>
      <c r="AD85" s="168">
        <f>+'horas pers'!R13/'horas pers'!$V13</f>
        <v>0</v>
      </c>
      <c r="AE85" s="168">
        <f>+'horas pers'!S13/'horas pers'!$V13</f>
        <v>0</v>
      </c>
      <c r="AF85" s="168">
        <f>+'horas pers'!T13/'horas pers'!$V13</f>
        <v>0</v>
      </c>
      <c r="AG85" s="168">
        <f>+'horas pers'!U13/'horas pers'!$V13</f>
        <v>0</v>
      </c>
      <c r="AH85" s="186">
        <f t="shared" si="19"/>
        <v>0.99999999999999989</v>
      </c>
    </row>
    <row r="86" spans="1:34" ht="12">
      <c r="A86" s="264">
        <v>6400000007</v>
      </c>
      <c r="B86" s="264" t="s">
        <v>143</v>
      </c>
      <c r="C86" s="143">
        <v>1760</v>
      </c>
      <c r="D86" s="183">
        <f>+'horas pers'!E14</f>
        <v>2357.1393724359687</v>
      </c>
      <c r="E86" s="177">
        <f t="shared" si="4"/>
        <v>0</v>
      </c>
      <c r="F86" s="162">
        <f t="shared" si="5"/>
        <v>529.69424099684693</v>
      </c>
      <c r="G86" s="162">
        <f t="shared" si="6"/>
        <v>251.60476447350226</v>
      </c>
      <c r="H86" s="162">
        <f t="shared" si="7"/>
        <v>0</v>
      </c>
      <c r="I86" s="162">
        <f t="shared" si="8"/>
        <v>476.72481689716221</v>
      </c>
      <c r="J86" s="162">
        <f t="shared" si="9"/>
        <v>648.8754452211374</v>
      </c>
      <c r="K86" s="162">
        <f t="shared" si="10"/>
        <v>450.24010484731986</v>
      </c>
      <c r="L86" s="162">
        <f t="shared" si="11"/>
        <v>0</v>
      </c>
      <c r="M86" s="162">
        <f t="shared" si="12"/>
        <v>0</v>
      </c>
      <c r="N86" s="162">
        <f t="shared" si="13"/>
        <v>0</v>
      </c>
      <c r="O86" s="162">
        <f t="shared" si="14"/>
        <v>0</v>
      </c>
      <c r="P86" s="162">
        <f t="shared" si="15"/>
        <v>0</v>
      </c>
      <c r="Q86" s="162">
        <f t="shared" si="16"/>
        <v>0</v>
      </c>
      <c r="R86" s="202">
        <f t="shared" si="17"/>
        <v>0</v>
      </c>
      <c r="S86" s="215"/>
      <c r="T86" s="195">
        <f>+'horas pers'!H14/'horas pers'!$V14</f>
        <v>0</v>
      </c>
      <c r="U86" s="168">
        <f>+'horas pers'!I14/'horas pers'!$V14</f>
        <v>0.2247191011235955</v>
      </c>
      <c r="V86" s="168">
        <f>+'horas pers'!J14/'horas pers'!$V14</f>
        <v>0.10674157303370786</v>
      </c>
      <c r="W86" s="168">
        <f>+'horas pers'!K14/'horas pers'!$V14</f>
        <v>0</v>
      </c>
      <c r="X86" s="168">
        <f>+'horas pers'!L14/'horas pers'!$V14</f>
        <v>0.20224719101123595</v>
      </c>
      <c r="Y86" s="168">
        <f>+'horas pers'!M14/'horas pers'!$V14</f>
        <v>0.2752808988764045</v>
      </c>
      <c r="Z86" s="168">
        <f>+'horas pers'!N14/'horas pers'!$V14</f>
        <v>0.19101123595505617</v>
      </c>
      <c r="AA86" s="168">
        <f>+'horas pers'!O14/'horas pers'!$V14</f>
        <v>0</v>
      </c>
      <c r="AB86" s="168">
        <f>+'horas pers'!P14/'horas pers'!$V14</f>
        <v>0</v>
      </c>
      <c r="AC86" s="168">
        <f>+'horas pers'!Q14/'horas pers'!$V14</f>
        <v>0</v>
      </c>
      <c r="AD86" s="168">
        <f>+'horas pers'!R14/'horas pers'!$V14</f>
        <v>0</v>
      </c>
      <c r="AE86" s="168">
        <f>+'horas pers'!S14/'horas pers'!$V14</f>
        <v>0</v>
      </c>
      <c r="AF86" s="168">
        <f>+'horas pers'!T14/'horas pers'!$V14</f>
        <v>0</v>
      </c>
      <c r="AG86" s="168">
        <f>+'horas pers'!U14/'horas pers'!$V14</f>
        <v>0</v>
      </c>
      <c r="AH86" s="186">
        <f t="shared" si="19"/>
        <v>1</v>
      </c>
    </row>
    <row r="87" spans="1:34" ht="12">
      <c r="A87" s="264">
        <v>6400000008</v>
      </c>
      <c r="B87" s="264" t="s">
        <v>144</v>
      </c>
      <c r="C87" s="143">
        <v>1498</v>
      </c>
      <c r="D87" s="183">
        <f>+'horas pers'!E15</f>
        <v>2006.2470340392506</v>
      </c>
      <c r="E87" s="177">
        <f t="shared" ref="E87:E113" si="20">+$D87*T87</f>
        <v>716.51679787116097</v>
      </c>
      <c r="F87" s="162">
        <f t="shared" ref="F87:F113" si="21">+$D87*U87</f>
        <v>0</v>
      </c>
      <c r="G87" s="162">
        <f t="shared" ref="G87:G113" si="22">+$D87*V87</f>
        <v>0</v>
      </c>
      <c r="H87" s="162">
        <f t="shared" ref="H87:H113" si="23">+$D87*W87</f>
        <v>644.86511808404487</v>
      </c>
      <c r="I87" s="162">
        <f t="shared" ref="I87:I113" si="24">+$D87*X87</f>
        <v>644.86511808404487</v>
      </c>
      <c r="J87" s="162">
        <f t="shared" ref="J87:J113" si="25">+$D87*Y87</f>
        <v>0</v>
      </c>
      <c r="K87" s="162">
        <f t="shared" ref="K87:K113" si="26">+$D87*Z87</f>
        <v>0</v>
      </c>
      <c r="L87" s="162">
        <f t="shared" ref="L87:L113" si="27">+$D87*AA87</f>
        <v>0</v>
      </c>
      <c r="M87" s="162">
        <f t="shared" ref="M87:M113" si="28">+$D87*AB87</f>
        <v>0</v>
      </c>
      <c r="N87" s="162">
        <f t="shared" ref="N87:N113" si="29">+$D87*AC87</f>
        <v>0</v>
      </c>
      <c r="O87" s="162">
        <f t="shared" ref="O87:O113" si="30">+$D87*AD87</f>
        <v>0</v>
      </c>
      <c r="P87" s="162">
        <f t="shared" ref="P87:P113" si="31">+$D87*AE87</f>
        <v>0</v>
      </c>
      <c r="Q87" s="162">
        <f t="shared" ref="Q87:Q113" si="32">+$D87*AF87</f>
        <v>0</v>
      </c>
      <c r="R87" s="202">
        <f t="shared" ref="R87:R113" si="33">+$D87*AG87</f>
        <v>0</v>
      </c>
      <c r="S87" s="215"/>
      <c r="T87" s="195">
        <f>+'horas pers'!H15/'horas pers'!$V15</f>
        <v>0.35714285714285715</v>
      </c>
      <c r="U87" s="168">
        <f>+'horas pers'!I15/'horas pers'!$V15</f>
        <v>0</v>
      </c>
      <c r="V87" s="168">
        <f>+'horas pers'!J15/'horas pers'!$V15</f>
        <v>0</v>
      </c>
      <c r="W87" s="168">
        <f>+'horas pers'!K15/'horas pers'!$V15</f>
        <v>0.32142857142857145</v>
      </c>
      <c r="X87" s="168">
        <f>+'horas pers'!L15/'horas pers'!$V15</f>
        <v>0.32142857142857145</v>
      </c>
      <c r="Y87" s="168">
        <f>+'horas pers'!M15/'horas pers'!$V15</f>
        <v>0</v>
      </c>
      <c r="Z87" s="168">
        <f>+'horas pers'!N15/'horas pers'!$V15</f>
        <v>0</v>
      </c>
      <c r="AA87" s="168">
        <f>+'horas pers'!O15/'horas pers'!$V15</f>
        <v>0</v>
      </c>
      <c r="AB87" s="168">
        <f>+'horas pers'!P15/'horas pers'!$V15</f>
        <v>0</v>
      </c>
      <c r="AC87" s="168">
        <f>+'horas pers'!Q15/'horas pers'!$V15</f>
        <v>0</v>
      </c>
      <c r="AD87" s="168">
        <f>+'horas pers'!R15/'horas pers'!$V15</f>
        <v>0</v>
      </c>
      <c r="AE87" s="168">
        <f>+'horas pers'!S15/'horas pers'!$V15</f>
        <v>0</v>
      </c>
      <c r="AF87" s="168">
        <f>+'horas pers'!T15/'horas pers'!$V15</f>
        <v>0</v>
      </c>
      <c r="AG87" s="168">
        <f>+'horas pers'!U15/'horas pers'!$V15</f>
        <v>0</v>
      </c>
      <c r="AH87" s="186">
        <f t="shared" si="19"/>
        <v>1</v>
      </c>
    </row>
    <row r="88" spans="1:34" ht="12">
      <c r="A88" s="264">
        <v>6400000009</v>
      </c>
      <c r="B88" s="264" t="s">
        <v>145</v>
      </c>
      <c r="C88" s="143">
        <v>1670</v>
      </c>
      <c r="D88" s="183">
        <f>+'horas pers'!E16</f>
        <v>2236.6038363454927</v>
      </c>
      <c r="E88" s="177">
        <f t="shared" si="20"/>
        <v>494.13340570423679</v>
      </c>
      <c r="F88" s="162">
        <f t="shared" si="21"/>
        <v>0</v>
      </c>
      <c r="G88" s="162">
        <f t="shared" si="22"/>
        <v>624.16851246850956</v>
      </c>
      <c r="H88" s="162">
        <f t="shared" si="23"/>
        <v>0</v>
      </c>
      <c r="I88" s="162">
        <f t="shared" si="24"/>
        <v>0</v>
      </c>
      <c r="J88" s="162">
        <f t="shared" si="25"/>
        <v>780.21064058563707</v>
      </c>
      <c r="K88" s="162">
        <f t="shared" si="26"/>
        <v>338.09127758710935</v>
      </c>
      <c r="L88" s="162">
        <f t="shared" si="27"/>
        <v>0</v>
      </c>
      <c r="M88" s="162">
        <f t="shared" si="28"/>
        <v>0</v>
      </c>
      <c r="N88" s="162">
        <f t="shared" si="29"/>
        <v>0</v>
      </c>
      <c r="O88" s="162">
        <f t="shared" si="30"/>
        <v>0</v>
      </c>
      <c r="P88" s="162">
        <f t="shared" si="31"/>
        <v>0</v>
      </c>
      <c r="Q88" s="162">
        <f t="shared" si="32"/>
        <v>0</v>
      </c>
      <c r="R88" s="202">
        <f t="shared" si="33"/>
        <v>0</v>
      </c>
      <c r="S88" s="215"/>
      <c r="T88" s="195">
        <f>+'horas pers'!H16/'horas pers'!$V16</f>
        <v>0.22093023255813954</v>
      </c>
      <c r="U88" s="168">
        <f>+'horas pers'!I16/'horas pers'!$V16</f>
        <v>0</v>
      </c>
      <c r="V88" s="168">
        <f>+'horas pers'!J16/'horas pers'!$V16</f>
        <v>0.27906976744186046</v>
      </c>
      <c r="W88" s="168">
        <f>+'horas pers'!K16/'horas pers'!$V16</f>
        <v>0</v>
      </c>
      <c r="X88" s="168">
        <f>+'horas pers'!L16/'horas pers'!$V16</f>
        <v>0</v>
      </c>
      <c r="Y88" s="168">
        <f>+'horas pers'!M16/'horas pers'!$V16</f>
        <v>0.34883720930232559</v>
      </c>
      <c r="Z88" s="168">
        <f>+'horas pers'!N16/'horas pers'!$V16</f>
        <v>0.15116279069767441</v>
      </c>
      <c r="AA88" s="168">
        <f>+'horas pers'!O16/'horas pers'!$V16</f>
        <v>0</v>
      </c>
      <c r="AB88" s="168">
        <f>+'horas pers'!P16/'horas pers'!$V16</f>
        <v>0</v>
      </c>
      <c r="AC88" s="168">
        <f>+'horas pers'!Q16/'horas pers'!$V16</f>
        <v>0</v>
      </c>
      <c r="AD88" s="168">
        <f>+'horas pers'!R16/'horas pers'!$V16</f>
        <v>0</v>
      </c>
      <c r="AE88" s="168">
        <f>+'horas pers'!S16/'horas pers'!$V16</f>
        <v>0</v>
      </c>
      <c r="AF88" s="168">
        <f>+'horas pers'!T16/'horas pers'!$V16</f>
        <v>0</v>
      </c>
      <c r="AG88" s="168">
        <f>+'horas pers'!U16/'horas pers'!$V16</f>
        <v>0</v>
      </c>
      <c r="AH88" s="186">
        <f t="shared" si="19"/>
        <v>1</v>
      </c>
    </row>
    <row r="89" spans="1:34" ht="12">
      <c r="A89" s="264">
        <v>6400000010</v>
      </c>
      <c r="B89" s="264" t="s">
        <v>146</v>
      </c>
      <c r="C89" s="143">
        <v>1365</v>
      </c>
      <c r="D89" s="183">
        <f>+'horas pers'!E17</f>
        <v>1828.1222973722142</v>
      </c>
      <c r="E89" s="177">
        <f t="shared" si="20"/>
        <v>0</v>
      </c>
      <c r="F89" s="162">
        <f t="shared" si="21"/>
        <v>840.51599879182265</v>
      </c>
      <c r="G89" s="162">
        <f t="shared" si="22"/>
        <v>0</v>
      </c>
      <c r="H89" s="162">
        <f t="shared" si="23"/>
        <v>567.34829918448031</v>
      </c>
      <c r="I89" s="162">
        <f t="shared" si="24"/>
        <v>420.25799939591133</v>
      </c>
      <c r="J89" s="162">
        <f t="shared" si="25"/>
        <v>0</v>
      </c>
      <c r="K89" s="162">
        <f t="shared" si="26"/>
        <v>0</v>
      </c>
      <c r="L89" s="162">
        <f t="shared" si="27"/>
        <v>0</v>
      </c>
      <c r="M89" s="162">
        <f t="shared" si="28"/>
        <v>0</v>
      </c>
      <c r="N89" s="162">
        <f t="shared" si="29"/>
        <v>0</v>
      </c>
      <c r="O89" s="162">
        <f t="shared" si="30"/>
        <v>0</v>
      </c>
      <c r="P89" s="162">
        <f t="shared" si="31"/>
        <v>0</v>
      </c>
      <c r="Q89" s="162">
        <f t="shared" si="32"/>
        <v>0</v>
      </c>
      <c r="R89" s="202">
        <f t="shared" si="33"/>
        <v>0</v>
      </c>
      <c r="S89" s="215"/>
      <c r="T89" s="195">
        <f>+'horas pers'!H17/'horas pers'!$V17</f>
        <v>0</v>
      </c>
      <c r="U89" s="168">
        <f>+'horas pers'!I17/'horas pers'!$V17</f>
        <v>0.45977011494252873</v>
      </c>
      <c r="V89" s="168">
        <f>+'horas pers'!J17/'horas pers'!$V17</f>
        <v>0</v>
      </c>
      <c r="W89" s="168">
        <f>+'horas pers'!K17/'horas pers'!$V17</f>
        <v>0.31034482758620691</v>
      </c>
      <c r="X89" s="168">
        <f>+'horas pers'!L17/'horas pers'!$V17</f>
        <v>0.22988505747126436</v>
      </c>
      <c r="Y89" s="168">
        <f>+'horas pers'!M17/'horas pers'!$V17</f>
        <v>0</v>
      </c>
      <c r="Z89" s="168">
        <f>+'horas pers'!N17/'horas pers'!$V17</f>
        <v>0</v>
      </c>
      <c r="AA89" s="168">
        <f>+'horas pers'!O17/'horas pers'!$V17</f>
        <v>0</v>
      </c>
      <c r="AB89" s="168">
        <f>+'horas pers'!P17/'horas pers'!$V17</f>
        <v>0</v>
      </c>
      <c r="AC89" s="168">
        <f>+'horas pers'!Q17/'horas pers'!$V17</f>
        <v>0</v>
      </c>
      <c r="AD89" s="168">
        <f>+'horas pers'!R17/'horas pers'!$V17</f>
        <v>0</v>
      </c>
      <c r="AE89" s="168">
        <f>+'horas pers'!S17/'horas pers'!$V17</f>
        <v>0</v>
      </c>
      <c r="AF89" s="168">
        <f>+'horas pers'!T17/'horas pers'!$V17</f>
        <v>0</v>
      </c>
      <c r="AG89" s="168">
        <f>+'horas pers'!U17/'horas pers'!$V17</f>
        <v>0</v>
      </c>
      <c r="AH89" s="186">
        <f t="shared" si="19"/>
        <v>1</v>
      </c>
    </row>
    <row r="90" spans="1:34" s="191" customFormat="1" ht="12">
      <c r="A90" s="261">
        <v>6420000001</v>
      </c>
      <c r="B90" s="261" t="s">
        <v>11</v>
      </c>
      <c r="C90" s="262">
        <v>9180</v>
      </c>
      <c r="D90" s="263"/>
      <c r="E90" s="187">
        <f t="shared" si="20"/>
        <v>0</v>
      </c>
      <c r="F90" s="188">
        <f t="shared" si="21"/>
        <v>0</v>
      </c>
      <c r="G90" s="188">
        <f t="shared" si="22"/>
        <v>0</v>
      </c>
      <c r="H90" s="188">
        <f t="shared" si="23"/>
        <v>0</v>
      </c>
      <c r="I90" s="188">
        <f t="shared" si="24"/>
        <v>0</v>
      </c>
      <c r="J90" s="188">
        <f t="shared" si="25"/>
        <v>0</v>
      </c>
      <c r="K90" s="188">
        <f t="shared" si="26"/>
        <v>0</v>
      </c>
      <c r="L90" s="188">
        <f t="shared" si="27"/>
        <v>0</v>
      </c>
      <c r="M90" s="188">
        <f t="shared" si="28"/>
        <v>0</v>
      </c>
      <c r="N90" s="188">
        <f t="shared" si="29"/>
        <v>0</v>
      </c>
      <c r="O90" s="188">
        <f t="shared" si="30"/>
        <v>0</v>
      </c>
      <c r="P90" s="188">
        <f t="shared" si="31"/>
        <v>0</v>
      </c>
      <c r="Q90" s="188">
        <f t="shared" si="32"/>
        <v>0</v>
      </c>
      <c r="R90" s="204">
        <f t="shared" si="33"/>
        <v>0</v>
      </c>
      <c r="S90" s="215"/>
      <c r="T90" s="196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90">
        <f t="shared" si="19"/>
        <v>0</v>
      </c>
    </row>
    <row r="91" spans="1:34" ht="12">
      <c r="A91" s="131">
        <v>6623000001</v>
      </c>
      <c r="B91" s="131" t="s">
        <v>9</v>
      </c>
      <c r="C91" s="143">
        <v>13700</v>
      </c>
      <c r="D91" s="183">
        <f>+C91</f>
        <v>13700</v>
      </c>
      <c r="E91" s="177">
        <f t="shared" si="20"/>
        <v>0</v>
      </c>
      <c r="F91" s="162">
        <f t="shared" si="21"/>
        <v>0</v>
      </c>
      <c r="G91" s="162">
        <f t="shared" si="22"/>
        <v>0</v>
      </c>
      <c r="H91" s="162">
        <f t="shared" si="23"/>
        <v>0</v>
      </c>
      <c r="I91" s="162">
        <f t="shared" si="24"/>
        <v>0</v>
      </c>
      <c r="J91" s="162">
        <f t="shared" si="25"/>
        <v>0</v>
      </c>
      <c r="K91" s="162">
        <f t="shared" si="26"/>
        <v>0</v>
      </c>
      <c r="L91" s="162">
        <f t="shared" si="27"/>
        <v>13700</v>
      </c>
      <c r="M91" s="162">
        <f t="shared" si="28"/>
        <v>0</v>
      </c>
      <c r="N91" s="162">
        <f t="shared" si="29"/>
        <v>0</v>
      </c>
      <c r="O91" s="162">
        <f t="shared" si="30"/>
        <v>0</v>
      </c>
      <c r="P91" s="162">
        <f t="shared" si="31"/>
        <v>0</v>
      </c>
      <c r="Q91" s="162">
        <f t="shared" si="32"/>
        <v>0</v>
      </c>
      <c r="R91" s="202">
        <f t="shared" si="33"/>
        <v>0</v>
      </c>
      <c r="S91" s="215"/>
      <c r="T91" s="195"/>
      <c r="U91" s="168"/>
      <c r="V91" s="168"/>
      <c r="W91" s="168"/>
      <c r="X91" s="168"/>
      <c r="Y91" s="168"/>
      <c r="Z91" s="168"/>
      <c r="AA91" s="168">
        <v>1</v>
      </c>
      <c r="AB91" s="168"/>
      <c r="AC91" s="168"/>
      <c r="AD91" s="168"/>
      <c r="AE91" s="168"/>
      <c r="AF91" s="168"/>
      <c r="AG91" s="168"/>
      <c r="AH91" s="186">
        <f t="shared" si="19"/>
        <v>1</v>
      </c>
    </row>
    <row r="92" spans="1:34" ht="12">
      <c r="A92" s="264">
        <v>6800020301</v>
      </c>
      <c r="B92" s="264" t="s">
        <v>133</v>
      </c>
      <c r="C92" s="143">
        <f>-C23/2</f>
        <v>1800</v>
      </c>
      <c r="D92" s="183">
        <f t="shared" ref="D92:D104" si="34">+C92</f>
        <v>1800</v>
      </c>
      <c r="E92" s="177">
        <f t="shared" si="20"/>
        <v>0</v>
      </c>
      <c r="F92" s="162">
        <f t="shared" si="21"/>
        <v>0</v>
      </c>
      <c r="G92" s="162">
        <f t="shared" si="22"/>
        <v>0</v>
      </c>
      <c r="H92" s="162">
        <f t="shared" si="23"/>
        <v>0</v>
      </c>
      <c r="I92" s="162">
        <f t="shared" si="24"/>
        <v>0</v>
      </c>
      <c r="J92" s="162">
        <f t="shared" si="25"/>
        <v>0</v>
      </c>
      <c r="K92" s="162">
        <f t="shared" si="26"/>
        <v>0</v>
      </c>
      <c r="L92" s="162">
        <f t="shared" si="27"/>
        <v>0</v>
      </c>
      <c r="M92" s="162">
        <f t="shared" si="28"/>
        <v>0</v>
      </c>
      <c r="N92" s="162">
        <f t="shared" si="29"/>
        <v>0</v>
      </c>
      <c r="O92" s="162">
        <f t="shared" si="30"/>
        <v>0</v>
      </c>
      <c r="P92" s="162">
        <f t="shared" si="31"/>
        <v>0</v>
      </c>
      <c r="Q92" s="162">
        <f t="shared" si="32"/>
        <v>1800</v>
      </c>
      <c r="R92" s="202">
        <f t="shared" si="33"/>
        <v>0</v>
      </c>
      <c r="S92" s="215"/>
      <c r="T92" s="195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>
        <v>1</v>
      </c>
      <c r="AG92" s="168"/>
      <c r="AH92" s="186">
        <f t="shared" si="19"/>
        <v>1</v>
      </c>
    </row>
    <row r="93" spans="1:34" ht="12">
      <c r="A93" s="264">
        <v>6800020302</v>
      </c>
      <c r="B93" s="264" t="s">
        <v>134</v>
      </c>
      <c r="C93" s="143">
        <f>-C24/2</f>
        <v>1500</v>
      </c>
      <c r="D93" s="183">
        <f t="shared" si="34"/>
        <v>1500</v>
      </c>
      <c r="E93" s="177">
        <f t="shared" si="20"/>
        <v>0</v>
      </c>
      <c r="F93" s="162">
        <f t="shared" si="21"/>
        <v>0</v>
      </c>
      <c r="G93" s="162">
        <f t="shared" si="22"/>
        <v>0</v>
      </c>
      <c r="H93" s="162">
        <f t="shared" si="23"/>
        <v>0</v>
      </c>
      <c r="I93" s="162">
        <f t="shared" si="24"/>
        <v>0</v>
      </c>
      <c r="J93" s="162">
        <f t="shared" si="25"/>
        <v>0</v>
      </c>
      <c r="K93" s="162">
        <f t="shared" si="26"/>
        <v>0</v>
      </c>
      <c r="L93" s="162">
        <f t="shared" si="27"/>
        <v>0</v>
      </c>
      <c r="M93" s="162">
        <f t="shared" si="28"/>
        <v>0</v>
      </c>
      <c r="N93" s="162">
        <f t="shared" si="29"/>
        <v>0</v>
      </c>
      <c r="O93" s="162">
        <f t="shared" si="30"/>
        <v>0</v>
      </c>
      <c r="P93" s="162">
        <f t="shared" si="31"/>
        <v>0</v>
      </c>
      <c r="Q93" s="162">
        <f t="shared" si="32"/>
        <v>1500</v>
      </c>
      <c r="R93" s="202">
        <f t="shared" si="33"/>
        <v>0</v>
      </c>
      <c r="S93" s="215"/>
      <c r="T93" s="195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>
        <v>1</v>
      </c>
      <c r="AG93" s="168"/>
      <c r="AH93" s="186">
        <f t="shared" si="19"/>
        <v>1</v>
      </c>
    </row>
    <row r="94" spans="1:34" ht="12">
      <c r="A94" s="264">
        <v>6810021101</v>
      </c>
      <c r="B94" s="264" t="s">
        <v>43</v>
      </c>
      <c r="C94" s="143">
        <v>8000</v>
      </c>
      <c r="D94" s="183">
        <f t="shared" si="34"/>
        <v>8000</v>
      </c>
      <c r="E94" s="177">
        <f t="shared" si="20"/>
        <v>1200</v>
      </c>
      <c r="F94" s="162">
        <f t="shared" si="21"/>
        <v>800</v>
      </c>
      <c r="G94" s="162">
        <f t="shared" si="22"/>
        <v>1200</v>
      </c>
      <c r="H94" s="162">
        <f t="shared" si="23"/>
        <v>800</v>
      </c>
      <c r="I94" s="162">
        <f t="shared" si="24"/>
        <v>800</v>
      </c>
      <c r="J94" s="162">
        <f t="shared" si="25"/>
        <v>1600</v>
      </c>
      <c r="K94" s="162">
        <f t="shared" si="26"/>
        <v>1600</v>
      </c>
      <c r="L94" s="162">
        <f t="shared" si="27"/>
        <v>0</v>
      </c>
      <c r="M94" s="162">
        <f t="shared" si="28"/>
        <v>0</v>
      </c>
      <c r="N94" s="162">
        <f t="shared" si="29"/>
        <v>0</v>
      </c>
      <c r="O94" s="162">
        <f t="shared" si="30"/>
        <v>0</v>
      </c>
      <c r="P94" s="162">
        <f t="shared" si="31"/>
        <v>0</v>
      </c>
      <c r="Q94" s="162">
        <f t="shared" si="32"/>
        <v>0</v>
      </c>
      <c r="R94" s="202">
        <f t="shared" si="33"/>
        <v>0</v>
      </c>
      <c r="S94" s="215"/>
      <c r="T94" s="195">
        <v>0.15</v>
      </c>
      <c r="U94" s="168">
        <v>0.1</v>
      </c>
      <c r="V94" s="168">
        <v>0.15</v>
      </c>
      <c r="W94" s="168">
        <v>0.1</v>
      </c>
      <c r="X94" s="168">
        <v>0.1</v>
      </c>
      <c r="Y94" s="168">
        <v>0.2</v>
      </c>
      <c r="Z94" s="168">
        <v>0.2</v>
      </c>
      <c r="AA94" s="168"/>
      <c r="AB94" s="168"/>
      <c r="AC94" s="168"/>
      <c r="AD94" s="168"/>
      <c r="AE94" s="168"/>
      <c r="AF94" s="168"/>
      <c r="AG94" s="168"/>
      <c r="AH94" s="186">
        <f t="shared" si="19"/>
        <v>1</v>
      </c>
    </row>
    <row r="95" spans="1:34" ht="12">
      <c r="A95" s="264">
        <v>6810021301</v>
      </c>
      <c r="B95" s="264" t="str">
        <f t="shared" ref="B95:B104" si="35">+B13</f>
        <v>TANQUE AGUA CALIENTE</v>
      </c>
      <c r="C95" s="143">
        <f t="shared" ref="C95:C102" si="36">-C26/2</f>
        <v>8000</v>
      </c>
      <c r="D95" s="183">
        <f t="shared" si="34"/>
        <v>8000</v>
      </c>
      <c r="E95" s="177">
        <f t="shared" si="20"/>
        <v>8000</v>
      </c>
      <c r="F95" s="162">
        <f t="shared" si="21"/>
        <v>0</v>
      </c>
      <c r="G95" s="162">
        <f t="shared" si="22"/>
        <v>0</v>
      </c>
      <c r="H95" s="162">
        <f t="shared" si="23"/>
        <v>0</v>
      </c>
      <c r="I95" s="162">
        <f t="shared" si="24"/>
        <v>0</v>
      </c>
      <c r="J95" s="162">
        <f t="shared" si="25"/>
        <v>0</v>
      </c>
      <c r="K95" s="162">
        <f t="shared" si="26"/>
        <v>0</v>
      </c>
      <c r="L95" s="162">
        <f t="shared" si="27"/>
        <v>0</v>
      </c>
      <c r="M95" s="162">
        <f t="shared" si="28"/>
        <v>0</v>
      </c>
      <c r="N95" s="162">
        <f t="shared" si="29"/>
        <v>0</v>
      </c>
      <c r="O95" s="162">
        <f t="shared" si="30"/>
        <v>0</v>
      </c>
      <c r="P95" s="162">
        <f t="shared" si="31"/>
        <v>0</v>
      </c>
      <c r="Q95" s="162">
        <f t="shared" si="32"/>
        <v>0</v>
      </c>
      <c r="R95" s="202">
        <f t="shared" si="33"/>
        <v>0</v>
      </c>
      <c r="S95" s="215"/>
      <c r="T95" s="195">
        <v>1</v>
      </c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86">
        <f t="shared" si="19"/>
        <v>1</v>
      </c>
    </row>
    <row r="96" spans="1:34" ht="12">
      <c r="A96" s="264">
        <v>6810021302</v>
      </c>
      <c r="B96" s="264" t="str">
        <f t="shared" si="35"/>
        <v>TANQUE DE MEZCLADO</v>
      </c>
      <c r="C96" s="143">
        <f t="shared" si="36"/>
        <v>6400</v>
      </c>
      <c r="D96" s="183">
        <f t="shared" si="34"/>
        <v>6400</v>
      </c>
      <c r="E96" s="177">
        <f t="shared" si="20"/>
        <v>6400</v>
      </c>
      <c r="F96" s="162">
        <f t="shared" si="21"/>
        <v>0</v>
      </c>
      <c r="G96" s="162">
        <f t="shared" si="22"/>
        <v>0</v>
      </c>
      <c r="H96" s="162">
        <f t="shared" si="23"/>
        <v>0</v>
      </c>
      <c r="I96" s="162">
        <f t="shared" si="24"/>
        <v>0</v>
      </c>
      <c r="J96" s="162">
        <f t="shared" si="25"/>
        <v>0</v>
      </c>
      <c r="K96" s="162">
        <f t="shared" si="26"/>
        <v>0</v>
      </c>
      <c r="L96" s="162">
        <f t="shared" si="27"/>
        <v>0</v>
      </c>
      <c r="M96" s="162">
        <f t="shared" si="28"/>
        <v>0</v>
      </c>
      <c r="N96" s="162">
        <f t="shared" si="29"/>
        <v>0</v>
      </c>
      <c r="O96" s="162">
        <f t="shared" si="30"/>
        <v>0</v>
      </c>
      <c r="P96" s="162">
        <f t="shared" si="31"/>
        <v>0</v>
      </c>
      <c r="Q96" s="162">
        <f t="shared" si="32"/>
        <v>0</v>
      </c>
      <c r="R96" s="202">
        <f t="shared" si="33"/>
        <v>0</v>
      </c>
      <c r="S96" s="215"/>
      <c r="T96" s="195">
        <v>1</v>
      </c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86">
        <f t="shared" si="19"/>
        <v>1</v>
      </c>
    </row>
    <row r="97" spans="1:34" ht="12">
      <c r="A97" s="264">
        <v>6810021303</v>
      </c>
      <c r="B97" s="264" t="str">
        <f t="shared" si="35"/>
        <v>TANQUE EBULLICIÓN</v>
      </c>
      <c r="C97" s="143">
        <f t="shared" si="36"/>
        <v>4800</v>
      </c>
      <c r="D97" s="183">
        <f t="shared" si="34"/>
        <v>4800</v>
      </c>
      <c r="E97" s="177">
        <f t="shared" si="20"/>
        <v>0</v>
      </c>
      <c r="F97" s="162">
        <f t="shared" si="21"/>
        <v>4800</v>
      </c>
      <c r="G97" s="162">
        <f t="shared" si="22"/>
        <v>0</v>
      </c>
      <c r="H97" s="162">
        <f t="shared" si="23"/>
        <v>0</v>
      </c>
      <c r="I97" s="162">
        <f t="shared" si="24"/>
        <v>0</v>
      </c>
      <c r="J97" s="162">
        <f t="shared" si="25"/>
        <v>0</v>
      </c>
      <c r="K97" s="162">
        <f t="shared" si="26"/>
        <v>0</v>
      </c>
      <c r="L97" s="162">
        <f t="shared" si="27"/>
        <v>0</v>
      </c>
      <c r="M97" s="162">
        <f t="shared" si="28"/>
        <v>0</v>
      </c>
      <c r="N97" s="162">
        <f t="shared" si="29"/>
        <v>0</v>
      </c>
      <c r="O97" s="162">
        <f t="shared" si="30"/>
        <v>0</v>
      </c>
      <c r="P97" s="162">
        <f t="shared" si="31"/>
        <v>0</v>
      </c>
      <c r="Q97" s="162">
        <f t="shared" si="32"/>
        <v>0</v>
      </c>
      <c r="R97" s="202">
        <f t="shared" si="33"/>
        <v>0</v>
      </c>
      <c r="S97" s="215"/>
      <c r="T97" s="195"/>
      <c r="U97" s="168">
        <v>1</v>
      </c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86">
        <f t="shared" si="19"/>
        <v>1</v>
      </c>
    </row>
    <row r="98" spans="1:34" ht="12">
      <c r="A98" s="264">
        <v>6810021304</v>
      </c>
      <c r="B98" s="264" t="str">
        <f t="shared" si="35"/>
        <v>CUBA DE LÚPULO</v>
      </c>
      <c r="C98" s="143">
        <f t="shared" si="36"/>
        <v>3600</v>
      </c>
      <c r="D98" s="183">
        <f t="shared" si="34"/>
        <v>3600</v>
      </c>
      <c r="E98" s="177">
        <f t="shared" si="20"/>
        <v>0</v>
      </c>
      <c r="F98" s="162">
        <f t="shared" si="21"/>
        <v>0</v>
      </c>
      <c r="G98" s="162">
        <f t="shared" si="22"/>
        <v>3600</v>
      </c>
      <c r="H98" s="162">
        <f t="shared" si="23"/>
        <v>0</v>
      </c>
      <c r="I98" s="162">
        <f t="shared" si="24"/>
        <v>0</v>
      </c>
      <c r="J98" s="162">
        <f t="shared" si="25"/>
        <v>0</v>
      </c>
      <c r="K98" s="162">
        <f t="shared" si="26"/>
        <v>0</v>
      </c>
      <c r="L98" s="162">
        <f t="shared" si="27"/>
        <v>0</v>
      </c>
      <c r="M98" s="162">
        <f t="shared" si="28"/>
        <v>0</v>
      </c>
      <c r="N98" s="162">
        <f t="shared" si="29"/>
        <v>0</v>
      </c>
      <c r="O98" s="162">
        <f t="shared" si="30"/>
        <v>0</v>
      </c>
      <c r="P98" s="162">
        <f t="shared" si="31"/>
        <v>0</v>
      </c>
      <c r="Q98" s="162">
        <f t="shared" si="32"/>
        <v>0</v>
      </c>
      <c r="R98" s="202">
        <f t="shared" si="33"/>
        <v>0</v>
      </c>
      <c r="S98" s="215"/>
      <c r="T98" s="195"/>
      <c r="U98" s="168"/>
      <c r="V98" s="168">
        <v>1</v>
      </c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86">
        <f t="shared" si="19"/>
        <v>1</v>
      </c>
    </row>
    <row r="99" spans="1:34" ht="12">
      <c r="A99" s="264">
        <v>6810021305</v>
      </c>
      <c r="B99" s="264" t="str">
        <f t="shared" si="35"/>
        <v>INTERCAMBIADOR DE CALOR</v>
      </c>
      <c r="C99" s="143">
        <f t="shared" si="36"/>
        <v>3200</v>
      </c>
      <c r="D99" s="183">
        <f t="shared" si="34"/>
        <v>3200</v>
      </c>
      <c r="E99" s="177">
        <f t="shared" si="20"/>
        <v>0</v>
      </c>
      <c r="F99" s="162">
        <f t="shared" si="21"/>
        <v>0</v>
      </c>
      <c r="G99" s="162">
        <f t="shared" si="22"/>
        <v>0</v>
      </c>
      <c r="H99" s="162">
        <f t="shared" si="23"/>
        <v>3200</v>
      </c>
      <c r="I99" s="162">
        <f t="shared" si="24"/>
        <v>0</v>
      </c>
      <c r="J99" s="162">
        <f t="shared" si="25"/>
        <v>0</v>
      </c>
      <c r="K99" s="162">
        <f t="shared" si="26"/>
        <v>0</v>
      </c>
      <c r="L99" s="162">
        <f t="shared" si="27"/>
        <v>0</v>
      </c>
      <c r="M99" s="162">
        <f t="shared" si="28"/>
        <v>0</v>
      </c>
      <c r="N99" s="162">
        <f t="shared" si="29"/>
        <v>0</v>
      </c>
      <c r="O99" s="162">
        <f t="shared" si="30"/>
        <v>0</v>
      </c>
      <c r="P99" s="162">
        <f t="shared" si="31"/>
        <v>0</v>
      </c>
      <c r="Q99" s="162">
        <f t="shared" si="32"/>
        <v>0</v>
      </c>
      <c r="R99" s="202">
        <f t="shared" si="33"/>
        <v>0</v>
      </c>
      <c r="S99" s="215"/>
      <c r="T99" s="195"/>
      <c r="U99" s="168"/>
      <c r="V99" s="168"/>
      <c r="W99" s="168">
        <v>1</v>
      </c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86">
        <f t="shared" si="19"/>
        <v>1</v>
      </c>
    </row>
    <row r="100" spans="1:34" ht="12">
      <c r="A100" s="264">
        <v>6810021306</v>
      </c>
      <c r="B100" s="264" t="str">
        <f t="shared" si="35"/>
        <v>TANQUE DE FERMENTACIÓN</v>
      </c>
      <c r="C100" s="143">
        <f t="shared" si="36"/>
        <v>6800</v>
      </c>
      <c r="D100" s="183">
        <f t="shared" si="34"/>
        <v>6800</v>
      </c>
      <c r="E100" s="177">
        <f t="shared" si="20"/>
        <v>0</v>
      </c>
      <c r="F100" s="162">
        <f t="shared" si="21"/>
        <v>0</v>
      </c>
      <c r="G100" s="162">
        <f t="shared" si="22"/>
        <v>0</v>
      </c>
      <c r="H100" s="162">
        <f t="shared" si="23"/>
        <v>6800</v>
      </c>
      <c r="I100" s="162">
        <f t="shared" si="24"/>
        <v>0</v>
      </c>
      <c r="J100" s="162">
        <f t="shared" si="25"/>
        <v>0</v>
      </c>
      <c r="K100" s="162">
        <f t="shared" si="26"/>
        <v>0</v>
      </c>
      <c r="L100" s="162">
        <f t="shared" si="27"/>
        <v>0</v>
      </c>
      <c r="M100" s="162">
        <f t="shared" si="28"/>
        <v>0</v>
      </c>
      <c r="N100" s="162">
        <f t="shared" si="29"/>
        <v>0</v>
      </c>
      <c r="O100" s="162">
        <f t="shared" si="30"/>
        <v>0</v>
      </c>
      <c r="P100" s="162">
        <f t="shared" si="31"/>
        <v>0</v>
      </c>
      <c r="Q100" s="162">
        <f t="shared" si="32"/>
        <v>0</v>
      </c>
      <c r="R100" s="202">
        <f t="shared" si="33"/>
        <v>0</v>
      </c>
      <c r="S100" s="215"/>
      <c r="T100" s="195"/>
      <c r="U100" s="168"/>
      <c r="V100" s="168"/>
      <c r="W100" s="168">
        <v>1</v>
      </c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86">
        <f t="shared" si="19"/>
        <v>1</v>
      </c>
    </row>
    <row r="101" spans="1:34" ht="12">
      <c r="A101" s="264">
        <v>6810021307</v>
      </c>
      <c r="B101" s="264" t="str">
        <f t="shared" si="35"/>
        <v>TANQUE DE VACÍO</v>
      </c>
      <c r="C101" s="143">
        <f t="shared" si="36"/>
        <v>1950</v>
      </c>
      <c r="D101" s="183">
        <f t="shared" si="34"/>
        <v>1950</v>
      </c>
      <c r="E101" s="177">
        <f t="shared" si="20"/>
        <v>0</v>
      </c>
      <c r="F101" s="162">
        <f t="shared" si="21"/>
        <v>0</v>
      </c>
      <c r="G101" s="162">
        <f t="shared" si="22"/>
        <v>0</v>
      </c>
      <c r="H101" s="162">
        <f t="shared" si="23"/>
        <v>0</v>
      </c>
      <c r="I101" s="162">
        <f t="shared" si="24"/>
        <v>1950</v>
      </c>
      <c r="J101" s="162">
        <f t="shared" si="25"/>
        <v>0</v>
      </c>
      <c r="K101" s="162">
        <f t="shared" si="26"/>
        <v>0</v>
      </c>
      <c r="L101" s="162">
        <f t="shared" si="27"/>
        <v>0</v>
      </c>
      <c r="M101" s="162">
        <f t="shared" si="28"/>
        <v>0</v>
      </c>
      <c r="N101" s="162">
        <f t="shared" si="29"/>
        <v>0</v>
      </c>
      <c r="O101" s="162">
        <f t="shared" si="30"/>
        <v>0</v>
      </c>
      <c r="P101" s="162">
        <f t="shared" si="31"/>
        <v>0</v>
      </c>
      <c r="Q101" s="162">
        <f t="shared" si="32"/>
        <v>0</v>
      </c>
      <c r="R101" s="202">
        <f t="shared" si="33"/>
        <v>0</v>
      </c>
      <c r="S101" s="215"/>
      <c r="T101" s="195"/>
      <c r="U101" s="168"/>
      <c r="V101" s="168"/>
      <c r="W101" s="168"/>
      <c r="X101" s="168">
        <v>1</v>
      </c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86"/>
    </row>
    <row r="102" spans="1:34" ht="12">
      <c r="A102" s="264">
        <v>6810021308</v>
      </c>
      <c r="B102" s="264" t="str">
        <f t="shared" si="35"/>
        <v>TUBERÍAS</v>
      </c>
      <c r="C102" s="143">
        <f t="shared" si="36"/>
        <v>4700</v>
      </c>
      <c r="D102" s="183">
        <f t="shared" si="34"/>
        <v>4700</v>
      </c>
      <c r="E102" s="177">
        <f t="shared" si="20"/>
        <v>658.00000000000011</v>
      </c>
      <c r="F102" s="162">
        <f t="shared" si="21"/>
        <v>658.00000000000011</v>
      </c>
      <c r="G102" s="162">
        <f t="shared" si="22"/>
        <v>658.00000000000011</v>
      </c>
      <c r="H102" s="162">
        <f t="shared" si="23"/>
        <v>658.00000000000011</v>
      </c>
      <c r="I102" s="162">
        <f t="shared" si="24"/>
        <v>752</v>
      </c>
      <c r="J102" s="162">
        <f t="shared" si="25"/>
        <v>658.00000000000011</v>
      </c>
      <c r="K102" s="162">
        <f t="shared" si="26"/>
        <v>658.00000000000011</v>
      </c>
      <c r="L102" s="162">
        <f t="shared" si="27"/>
        <v>0</v>
      </c>
      <c r="M102" s="162">
        <f t="shared" si="28"/>
        <v>0</v>
      </c>
      <c r="N102" s="162">
        <f t="shared" si="29"/>
        <v>0</v>
      </c>
      <c r="O102" s="162">
        <f t="shared" si="30"/>
        <v>0</v>
      </c>
      <c r="P102" s="162">
        <f t="shared" si="31"/>
        <v>0</v>
      </c>
      <c r="Q102" s="162">
        <f t="shared" si="32"/>
        <v>0</v>
      </c>
      <c r="R102" s="202">
        <f t="shared" si="33"/>
        <v>0</v>
      </c>
      <c r="S102" s="215"/>
      <c r="T102" s="195">
        <v>0.14000000000000001</v>
      </c>
      <c r="U102" s="168">
        <v>0.14000000000000001</v>
      </c>
      <c r="V102" s="168">
        <v>0.14000000000000001</v>
      </c>
      <c r="W102" s="168">
        <v>0.14000000000000001</v>
      </c>
      <c r="X102" s="168">
        <v>0.16</v>
      </c>
      <c r="Y102" s="168">
        <v>0.14000000000000001</v>
      </c>
      <c r="Z102" s="168">
        <v>0.14000000000000001</v>
      </c>
      <c r="AA102" s="168"/>
      <c r="AB102" s="168"/>
      <c r="AC102" s="168"/>
      <c r="AD102" s="168"/>
      <c r="AE102" s="168"/>
      <c r="AF102" s="168"/>
      <c r="AG102" s="168"/>
      <c r="AH102" s="186">
        <f t="shared" si="19"/>
        <v>1</v>
      </c>
    </row>
    <row r="103" spans="1:34" ht="12">
      <c r="A103" s="264">
        <v>6810021309</v>
      </c>
      <c r="B103" s="264" t="str">
        <f t="shared" si="35"/>
        <v>EMBOTELLADORA ( BOTELLAS 1 L.)</v>
      </c>
      <c r="C103" s="143">
        <f>-C34/4</f>
        <v>1170</v>
      </c>
      <c r="D103" s="183">
        <f t="shared" si="34"/>
        <v>1170</v>
      </c>
      <c r="E103" s="177">
        <f t="shared" si="20"/>
        <v>0</v>
      </c>
      <c r="F103" s="162">
        <f t="shared" si="21"/>
        <v>0</v>
      </c>
      <c r="G103" s="162">
        <f t="shared" si="22"/>
        <v>0</v>
      </c>
      <c r="H103" s="162">
        <f t="shared" si="23"/>
        <v>0</v>
      </c>
      <c r="I103" s="162">
        <f t="shared" si="24"/>
        <v>0</v>
      </c>
      <c r="J103" s="162">
        <f t="shared" si="25"/>
        <v>0</v>
      </c>
      <c r="K103" s="162">
        <f t="shared" si="26"/>
        <v>1170</v>
      </c>
      <c r="L103" s="162">
        <f t="shared" si="27"/>
        <v>0</v>
      </c>
      <c r="M103" s="162">
        <f t="shared" si="28"/>
        <v>0</v>
      </c>
      <c r="N103" s="162">
        <f t="shared" si="29"/>
        <v>0</v>
      </c>
      <c r="O103" s="162">
        <f t="shared" si="30"/>
        <v>0</v>
      </c>
      <c r="P103" s="162">
        <f t="shared" si="31"/>
        <v>0</v>
      </c>
      <c r="Q103" s="162">
        <f t="shared" si="32"/>
        <v>0</v>
      </c>
      <c r="R103" s="202">
        <f t="shared" si="33"/>
        <v>0</v>
      </c>
      <c r="S103" s="215"/>
      <c r="T103" s="195"/>
      <c r="U103" s="168"/>
      <c r="V103" s="168"/>
      <c r="W103" s="168"/>
      <c r="X103" s="168"/>
      <c r="Y103" s="168"/>
      <c r="Z103" s="168">
        <v>1</v>
      </c>
      <c r="AA103" s="168"/>
      <c r="AB103" s="168"/>
      <c r="AC103" s="168"/>
      <c r="AD103" s="168"/>
      <c r="AE103" s="168"/>
      <c r="AF103" s="168"/>
      <c r="AG103" s="168"/>
      <c r="AH103" s="186">
        <f t="shared" si="19"/>
        <v>1</v>
      </c>
    </row>
    <row r="104" spans="1:34" ht="12">
      <c r="A104" s="264">
        <v>6810021310</v>
      </c>
      <c r="B104" s="264" t="str">
        <f t="shared" si="35"/>
        <v>ENLATADORA (LATAS 33 CL.)</v>
      </c>
      <c r="C104" s="143">
        <f>-C35/2</f>
        <v>8140</v>
      </c>
      <c r="D104" s="183">
        <f t="shared" si="34"/>
        <v>8140</v>
      </c>
      <c r="E104" s="177">
        <f t="shared" si="20"/>
        <v>0</v>
      </c>
      <c r="F104" s="162">
        <f t="shared" si="21"/>
        <v>0</v>
      </c>
      <c r="G104" s="162">
        <f t="shared" si="22"/>
        <v>0</v>
      </c>
      <c r="H104" s="162">
        <f t="shared" si="23"/>
        <v>0</v>
      </c>
      <c r="I104" s="162">
        <f t="shared" si="24"/>
        <v>0</v>
      </c>
      <c r="J104" s="162">
        <f t="shared" si="25"/>
        <v>8140</v>
      </c>
      <c r="K104" s="162">
        <f t="shared" si="26"/>
        <v>0</v>
      </c>
      <c r="L104" s="162">
        <f t="shared" si="27"/>
        <v>0</v>
      </c>
      <c r="M104" s="162">
        <f t="shared" si="28"/>
        <v>0</v>
      </c>
      <c r="N104" s="162">
        <f t="shared" si="29"/>
        <v>0</v>
      </c>
      <c r="O104" s="162">
        <f t="shared" si="30"/>
        <v>0</v>
      </c>
      <c r="P104" s="162">
        <f t="shared" si="31"/>
        <v>0</v>
      </c>
      <c r="Q104" s="162">
        <f t="shared" si="32"/>
        <v>0</v>
      </c>
      <c r="R104" s="202">
        <f t="shared" si="33"/>
        <v>0</v>
      </c>
      <c r="S104" s="215"/>
      <c r="T104" s="195"/>
      <c r="U104" s="168"/>
      <c r="V104" s="168"/>
      <c r="W104" s="168"/>
      <c r="X104" s="168"/>
      <c r="Y104" s="168">
        <v>1</v>
      </c>
      <c r="Z104" s="168"/>
      <c r="AA104" s="168"/>
      <c r="AB104" s="168"/>
      <c r="AC104" s="168"/>
      <c r="AD104" s="168"/>
      <c r="AE104" s="168"/>
      <c r="AF104" s="168"/>
      <c r="AG104" s="168"/>
      <c r="AH104" s="186">
        <f t="shared" si="19"/>
        <v>1</v>
      </c>
    </row>
    <row r="105" spans="1:34" ht="12">
      <c r="A105" s="131">
        <v>7010000001</v>
      </c>
      <c r="B105" s="132" t="str">
        <f>+B40</f>
        <v>CERVEZA NORMAL BOTELLA 1 L.</v>
      </c>
      <c r="C105" s="142">
        <f>-'rdo por cliente'!C10</f>
        <v>-85560.950000000012</v>
      </c>
      <c r="D105" s="183"/>
      <c r="E105" s="177">
        <f t="shared" si="20"/>
        <v>0</v>
      </c>
      <c r="F105" s="162">
        <f t="shared" si="21"/>
        <v>0</v>
      </c>
      <c r="G105" s="162">
        <f t="shared" si="22"/>
        <v>0</v>
      </c>
      <c r="H105" s="162">
        <f t="shared" si="23"/>
        <v>0</v>
      </c>
      <c r="I105" s="162">
        <f t="shared" si="24"/>
        <v>0</v>
      </c>
      <c r="J105" s="162">
        <f t="shared" si="25"/>
        <v>0</v>
      </c>
      <c r="K105" s="162">
        <f t="shared" si="26"/>
        <v>0</v>
      </c>
      <c r="L105" s="162">
        <f t="shared" si="27"/>
        <v>0</v>
      </c>
      <c r="M105" s="162">
        <f t="shared" si="28"/>
        <v>0</v>
      </c>
      <c r="N105" s="162">
        <f t="shared" si="29"/>
        <v>0</v>
      </c>
      <c r="O105" s="162">
        <f t="shared" si="30"/>
        <v>0</v>
      </c>
      <c r="P105" s="162">
        <f t="shared" si="31"/>
        <v>0</v>
      </c>
      <c r="Q105" s="162">
        <f t="shared" si="32"/>
        <v>0</v>
      </c>
      <c r="R105" s="202">
        <f t="shared" si="33"/>
        <v>0</v>
      </c>
      <c r="S105" s="215"/>
      <c r="T105" s="195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86">
        <f t="shared" si="19"/>
        <v>0</v>
      </c>
    </row>
    <row r="106" spans="1:34" ht="12">
      <c r="A106" s="131">
        <v>7010000002</v>
      </c>
      <c r="B106" s="132" t="str">
        <f>+B41</f>
        <v>CERVEZA NORMAL LATA 33 CL</v>
      </c>
      <c r="C106" s="142">
        <f>-'rdo por cliente'!C11</f>
        <v>-211569.19999999998</v>
      </c>
      <c r="D106" s="183"/>
      <c r="E106" s="177">
        <f t="shared" si="20"/>
        <v>0</v>
      </c>
      <c r="F106" s="162">
        <f t="shared" si="21"/>
        <v>0</v>
      </c>
      <c r="G106" s="162">
        <f t="shared" si="22"/>
        <v>0</v>
      </c>
      <c r="H106" s="162">
        <f t="shared" si="23"/>
        <v>0</v>
      </c>
      <c r="I106" s="162">
        <f t="shared" si="24"/>
        <v>0</v>
      </c>
      <c r="J106" s="162">
        <f t="shared" si="25"/>
        <v>0</v>
      </c>
      <c r="K106" s="162">
        <f t="shared" si="26"/>
        <v>0</v>
      </c>
      <c r="L106" s="162">
        <f t="shared" si="27"/>
        <v>0</v>
      </c>
      <c r="M106" s="162">
        <f t="shared" si="28"/>
        <v>0</v>
      </c>
      <c r="N106" s="162">
        <f t="shared" si="29"/>
        <v>0</v>
      </c>
      <c r="O106" s="162">
        <f t="shared" si="30"/>
        <v>0</v>
      </c>
      <c r="P106" s="162">
        <f t="shared" si="31"/>
        <v>0</v>
      </c>
      <c r="Q106" s="162">
        <f t="shared" si="32"/>
        <v>0</v>
      </c>
      <c r="R106" s="202">
        <f t="shared" si="33"/>
        <v>0</v>
      </c>
      <c r="S106" s="215"/>
      <c r="T106" s="195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86">
        <f t="shared" si="19"/>
        <v>0</v>
      </c>
    </row>
    <row r="107" spans="1:34" ht="15" customHeight="1">
      <c r="A107" s="131">
        <v>7010000003</v>
      </c>
      <c r="B107" s="132" t="str">
        <f>+B42</f>
        <v>CERVEZA SIN ALCHOL BOTELLA 1 L</v>
      </c>
      <c r="C107" s="142">
        <f>-'rdo por cliente'!C12</f>
        <v>-10351.849999999999</v>
      </c>
      <c r="D107" s="183"/>
      <c r="E107" s="177">
        <f t="shared" si="20"/>
        <v>0</v>
      </c>
      <c r="F107" s="162">
        <f t="shared" si="21"/>
        <v>0</v>
      </c>
      <c r="G107" s="162">
        <f t="shared" si="22"/>
        <v>0</v>
      </c>
      <c r="H107" s="162">
        <f t="shared" si="23"/>
        <v>0</v>
      </c>
      <c r="I107" s="162">
        <f t="shared" si="24"/>
        <v>0</v>
      </c>
      <c r="J107" s="162">
        <f t="shared" si="25"/>
        <v>0</v>
      </c>
      <c r="K107" s="162">
        <f t="shared" si="26"/>
        <v>0</v>
      </c>
      <c r="L107" s="162">
        <f t="shared" si="27"/>
        <v>0</v>
      </c>
      <c r="M107" s="162">
        <f t="shared" si="28"/>
        <v>0</v>
      </c>
      <c r="N107" s="162">
        <f t="shared" si="29"/>
        <v>0</v>
      </c>
      <c r="O107" s="162">
        <f t="shared" si="30"/>
        <v>0</v>
      </c>
      <c r="P107" s="162">
        <f t="shared" si="31"/>
        <v>0</v>
      </c>
      <c r="Q107" s="162">
        <f t="shared" si="32"/>
        <v>0</v>
      </c>
      <c r="R107" s="202">
        <f t="shared" si="33"/>
        <v>0</v>
      </c>
      <c r="S107" s="215"/>
      <c r="T107" s="195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86">
        <f t="shared" si="19"/>
        <v>0</v>
      </c>
    </row>
    <row r="108" spans="1:34" ht="12">
      <c r="A108" s="131">
        <v>7010000004</v>
      </c>
      <c r="B108" s="132" t="str">
        <f>+B43</f>
        <v>CERVEZA SIN ALCHOL LATA 33 CL</v>
      </c>
      <c r="C108" s="142">
        <f>-'rdo por cliente'!C13</f>
        <v>-34330.639999999999</v>
      </c>
      <c r="D108" s="183"/>
      <c r="E108" s="177">
        <f t="shared" si="20"/>
        <v>0</v>
      </c>
      <c r="F108" s="162">
        <f t="shared" si="21"/>
        <v>0</v>
      </c>
      <c r="G108" s="162">
        <f t="shared" si="22"/>
        <v>0</v>
      </c>
      <c r="H108" s="162">
        <f t="shared" si="23"/>
        <v>0</v>
      </c>
      <c r="I108" s="162">
        <f t="shared" si="24"/>
        <v>0</v>
      </c>
      <c r="J108" s="162">
        <f t="shared" si="25"/>
        <v>0</v>
      </c>
      <c r="K108" s="162">
        <f t="shared" si="26"/>
        <v>0</v>
      </c>
      <c r="L108" s="162">
        <f t="shared" si="27"/>
        <v>0</v>
      </c>
      <c r="M108" s="162">
        <f t="shared" si="28"/>
        <v>0</v>
      </c>
      <c r="N108" s="162">
        <f t="shared" si="29"/>
        <v>0</v>
      </c>
      <c r="O108" s="162">
        <f t="shared" si="30"/>
        <v>0</v>
      </c>
      <c r="P108" s="162">
        <f t="shared" si="31"/>
        <v>0</v>
      </c>
      <c r="Q108" s="162">
        <f t="shared" si="32"/>
        <v>0</v>
      </c>
      <c r="R108" s="202">
        <f t="shared" si="33"/>
        <v>0</v>
      </c>
      <c r="S108" s="215"/>
      <c r="T108" s="195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86">
        <f t="shared" si="19"/>
        <v>0</v>
      </c>
    </row>
    <row r="109" spans="1:34" ht="12">
      <c r="A109" s="131">
        <v>7120000001</v>
      </c>
      <c r="B109" s="131" t="str">
        <f>+B105</f>
        <v>CERVEZA NORMAL BOTELLA 1 L.</v>
      </c>
      <c r="C109" s="143">
        <f>+'prod term'!D10</f>
        <v>6254.2676058435818</v>
      </c>
      <c r="D109" s="183"/>
      <c r="E109" s="177">
        <f t="shared" si="20"/>
        <v>0</v>
      </c>
      <c r="F109" s="162">
        <f t="shared" si="21"/>
        <v>0</v>
      </c>
      <c r="G109" s="162">
        <f t="shared" si="22"/>
        <v>0</v>
      </c>
      <c r="H109" s="162">
        <f t="shared" si="23"/>
        <v>0</v>
      </c>
      <c r="I109" s="162">
        <f t="shared" si="24"/>
        <v>0</v>
      </c>
      <c r="J109" s="162">
        <f t="shared" si="25"/>
        <v>0</v>
      </c>
      <c r="K109" s="162">
        <f t="shared" si="26"/>
        <v>0</v>
      </c>
      <c r="L109" s="162">
        <f t="shared" si="27"/>
        <v>0</v>
      </c>
      <c r="M109" s="162">
        <f t="shared" si="28"/>
        <v>0</v>
      </c>
      <c r="N109" s="162">
        <f t="shared" si="29"/>
        <v>0</v>
      </c>
      <c r="O109" s="162">
        <f t="shared" si="30"/>
        <v>0</v>
      </c>
      <c r="P109" s="162">
        <f t="shared" si="31"/>
        <v>0</v>
      </c>
      <c r="Q109" s="162">
        <f t="shared" si="32"/>
        <v>0</v>
      </c>
      <c r="R109" s="202">
        <f t="shared" si="33"/>
        <v>0</v>
      </c>
      <c r="S109" s="215"/>
      <c r="T109" s="195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86">
        <f t="shared" si="19"/>
        <v>0</v>
      </c>
    </row>
    <row r="110" spans="1:34" ht="12">
      <c r="A110" s="131">
        <v>7120000002</v>
      </c>
      <c r="B110" s="131" t="str">
        <f t="shared" ref="B110:B112" si="37">+B106</f>
        <v>CERVEZA NORMAL LATA 33 CL</v>
      </c>
      <c r="C110" s="143">
        <f>+'prod term'!G10</f>
        <v>295.43062806132957</v>
      </c>
      <c r="D110" s="183"/>
      <c r="E110" s="177">
        <f t="shared" si="20"/>
        <v>0</v>
      </c>
      <c r="F110" s="162">
        <f t="shared" si="21"/>
        <v>0</v>
      </c>
      <c r="G110" s="162">
        <f t="shared" si="22"/>
        <v>0</v>
      </c>
      <c r="H110" s="162">
        <f t="shared" si="23"/>
        <v>0</v>
      </c>
      <c r="I110" s="162">
        <f t="shared" si="24"/>
        <v>0</v>
      </c>
      <c r="J110" s="162">
        <f t="shared" si="25"/>
        <v>0</v>
      </c>
      <c r="K110" s="162">
        <f t="shared" si="26"/>
        <v>0</v>
      </c>
      <c r="L110" s="162">
        <f t="shared" si="27"/>
        <v>0</v>
      </c>
      <c r="M110" s="162">
        <f t="shared" si="28"/>
        <v>0</v>
      </c>
      <c r="N110" s="162">
        <f t="shared" si="29"/>
        <v>0</v>
      </c>
      <c r="O110" s="162">
        <f t="shared" si="30"/>
        <v>0</v>
      </c>
      <c r="P110" s="162">
        <f t="shared" si="31"/>
        <v>0</v>
      </c>
      <c r="Q110" s="162">
        <f t="shared" si="32"/>
        <v>0</v>
      </c>
      <c r="R110" s="202">
        <f t="shared" si="33"/>
        <v>0</v>
      </c>
      <c r="S110" s="215"/>
      <c r="T110" s="195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86">
        <f t="shared" si="19"/>
        <v>0</v>
      </c>
    </row>
    <row r="111" spans="1:34" ht="12">
      <c r="A111" s="131">
        <v>7120000003</v>
      </c>
      <c r="B111" s="131" t="str">
        <f t="shared" si="37"/>
        <v>CERVEZA SIN ALCHOL BOTELLA 1 L</v>
      </c>
      <c r="C111" s="143">
        <f>+'prod term'!J10</f>
        <v>458.93189311001606</v>
      </c>
      <c r="D111" s="183"/>
      <c r="E111" s="177">
        <f t="shared" si="20"/>
        <v>0</v>
      </c>
      <c r="F111" s="162">
        <f t="shared" si="21"/>
        <v>0</v>
      </c>
      <c r="G111" s="162">
        <f t="shared" si="22"/>
        <v>0</v>
      </c>
      <c r="H111" s="162">
        <f t="shared" si="23"/>
        <v>0</v>
      </c>
      <c r="I111" s="162">
        <f t="shared" si="24"/>
        <v>0</v>
      </c>
      <c r="J111" s="162">
        <f t="shared" si="25"/>
        <v>0</v>
      </c>
      <c r="K111" s="162">
        <f t="shared" si="26"/>
        <v>0</v>
      </c>
      <c r="L111" s="162">
        <f t="shared" si="27"/>
        <v>0</v>
      </c>
      <c r="M111" s="162">
        <f t="shared" si="28"/>
        <v>0</v>
      </c>
      <c r="N111" s="162">
        <f t="shared" si="29"/>
        <v>0</v>
      </c>
      <c r="O111" s="162">
        <f t="shared" si="30"/>
        <v>0</v>
      </c>
      <c r="P111" s="162">
        <f t="shared" si="31"/>
        <v>0</v>
      </c>
      <c r="Q111" s="162">
        <f t="shared" si="32"/>
        <v>0</v>
      </c>
      <c r="R111" s="202">
        <f t="shared" si="33"/>
        <v>0</v>
      </c>
      <c r="S111" s="215"/>
      <c r="T111" s="195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86">
        <f t="shared" si="19"/>
        <v>0</v>
      </c>
    </row>
    <row r="112" spans="1:34" ht="12">
      <c r="A112" s="131">
        <v>7120000004</v>
      </c>
      <c r="B112" s="131" t="str">
        <f t="shared" si="37"/>
        <v>CERVEZA SIN ALCHOL LATA 33 CL</v>
      </c>
      <c r="C112" s="143">
        <f>+'prod term'!M10</f>
        <v>-1243.0588397444697</v>
      </c>
      <c r="D112" s="183"/>
      <c r="E112" s="177">
        <f t="shared" si="20"/>
        <v>0</v>
      </c>
      <c r="F112" s="162">
        <f t="shared" si="21"/>
        <v>0</v>
      </c>
      <c r="G112" s="162">
        <f t="shared" si="22"/>
        <v>0</v>
      </c>
      <c r="H112" s="162">
        <f t="shared" si="23"/>
        <v>0</v>
      </c>
      <c r="I112" s="162">
        <f t="shared" si="24"/>
        <v>0</v>
      </c>
      <c r="J112" s="162">
        <f t="shared" si="25"/>
        <v>0</v>
      </c>
      <c r="K112" s="162">
        <f t="shared" si="26"/>
        <v>0</v>
      </c>
      <c r="L112" s="162">
        <f t="shared" si="27"/>
        <v>0</v>
      </c>
      <c r="M112" s="162">
        <f t="shared" si="28"/>
        <v>0</v>
      </c>
      <c r="N112" s="162">
        <f t="shared" si="29"/>
        <v>0</v>
      </c>
      <c r="O112" s="162">
        <f t="shared" si="30"/>
        <v>0</v>
      </c>
      <c r="P112" s="162">
        <f t="shared" si="31"/>
        <v>0</v>
      </c>
      <c r="Q112" s="162">
        <f t="shared" si="32"/>
        <v>0</v>
      </c>
      <c r="R112" s="202">
        <f t="shared" si="33"/>
        <v>0</v>
      </c>
      <c r="S112" s="215"/>
      <c r="T112" s="195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86">
        <f t="shared" si="19"/>
        <v>0</v>
      </c>
    </row>
    <row r="113" spans="1:34" thickBot="1">
      <c r="A113" s="131">
        <v>7603000001</v>
      </c>
      <c r="B113" s="131" t="s">
        <v>10</v>
      </c>
      <c r="C113" s="265">
        <v>-19000</v>
      </c>
      <c r="D113" s="266">
        <f>+C113</f>
        <v>-19000</v>
      </c>
      <c r="E113" s="171">
        <f t="shared" si="20"/>
        <v>0</v>
      </c>
      <c r="F113" s="172">
        <f t="shared" si="21"/>
        <v>0</v>
      </c>
      <c r="G113" s="172">
        <f t="shared" si="22"/>
        <v>0</v>
      </c>
      <c r="H113" s="172">
        <f t="shared" si="23"/>
        <v>0</v>
      </c>
      <c r="I113" s="172">
        <f t="shared" si="24"/>
        <v>0</v>
      </c>
      <c r="J113" s="172">
        <f t="shared" si="25"/>
        <v>0</v>
      </c>
      <c r="K113" s="172">
        <f t="shared" si="26"/>
        <v>0</v>
      </c>
      <c r="L113" s="172">
        <f t="shared" si="27"/>
        <v>-19000</v>
      </c>
      <c r="M113" s="172">
        <f t="shared" si="28"/>
        <v>0</v>
      </c>
      <c r="N113" s="172">
        <f t="shared" si="29"/>
        <v>0</v>
      </c>
      <c r="O113" s="172">
        <f t="shared" si="30"/>
        <v>0</v>
      </c>
      <c r="P113" s="172">
        <f t="shared" si="31"/>
        <v>0</v>
      </c>
      <c r="Q113" s="172">
        <f t="shared" si="32"/>
        <v>0</v>
      </c>
      <c r="R113" s="221">
        <f t="shared" si="33"/>
        <v>0</v>
      </c>
      <c r="S113" s="215"/>
      <c r="T113" s="195"/>
      <c r="U113" s="168"/>
      <c r="V113" s="168"/>
      <c r="W113" s="168"/>
      <c r="X113" s="168"/>
      <c r="Y113" s="168"/>
      <c r="Z113" s="168"/>
      <c r="AA113" s="168">
        <v>1</v>
      </c>
      <c r="AB113" s="168"/>
      <c r="AC113" s="168"/>
      <c r="AD113" s="168"/>
      <c r="AE113" s="168"/>
      <c r="AF113" s="168"/>
      <c r="AG113" s="168"/>
      <c r="AH113" s="186">
        <f t="shared" si="19"/>
        <v>1</v>
      </c>
    </row>
    <row r="114" spans="1:34" s="228" customFormat="1" ht="13.5" thickBot="1">
      <c r="A114" s="40"/>
      <c r="B114" s="74"/>
      <c r="C114" s="222">
        <f>SUM(C6:C113)</f>
        <v>-3.637978807091713E-11</v>
      </c>
      <c r="D114" s="223" t="s">
        <v>34</v>
      </c>
      <c r="E114" s="224">
        <f>SUM(E6:E113)</f>
        <v>139059.49547160332</v>
      </c>
      <c r="F114" s="225">
        <f>SUM(F6:F113)</f>
        <v>17575.363503774777</v>
      </c>
      <c r="G114" s="225">
        <f>SUM(G6:G113)</f>
        <v>14982.693728562477</v>
      </c>
      <c r="H114" s="225">
        <f>SUM(H6:H113)</f>
        <v>21059.842628443239</v>
      </c>
      <c r="I114" s="225">
        <f t="shared" ref="I114:R114" si="38">SUM(I6:I113)</f>
        <v>7510.9753838356683</v>
      </c>
      <c r="J114" s="225">
        <f t="shared" si="38"/>
        <v>35694.071009378531</v>
      </c>
      <c r="K114" s="225">
        <f t="shared" si="38"/>
        <v>17142.400118356036</v>
      </c>
      <c r="L114" s="225">
        <f>SUM(L6:L113)</f>
        <v>2315.6543257164158</v>
      </c>
      <c r="M114" s="225">
        <f t="shared" si="38"/>
        <v>4793.1141630295642</v>
      </c>
      <c r="N114" s="225">
        <f t="shared" si="38"/>
        <v>5739.9</v>
      </c>
      <c r="O114" s="225">
        <f t="shared" si="38"/>
        <v>9502.5529160660808</v>
      </c>
      <c r="P114" s="225">
        <f t="shared" si="38"/>
        <v>19787.407077482891</v>
      </c>
      <c r="Q114" s="225">
        <f t="shared" si="38"/>
        <v>7713.594280760818</v>
      </c>
      <c r="R114" s="226">
        <f t="shared" si="38"/>
        <v>18320</v>
      </c>
      <c r="S114" s="227"/>
    </row>
    <row r="115" spans="1:34" ht="12.75" customHeight="1">
      <c r="B115" s="292" t="s">
        <v>35</v>
      </c>
      <c r="C115" s="295" t="str">
        <f>'coste produc-ABC'!C1</f>
        <v>Normal 1 l.</v>
      </c>
      <c r="D115" s="296"/>
      <c r="E115" s="229">
        <f>+'MP, envases y producción'!$E$5</f>
        <v>6</v>
      </c>
      <c r="F115" s="229">
        <f>+'MP, envases y producción'!$E$5</f>
        <v>6</v>
      </c>
      <c r="G115" s="229">
        <f>+'MP, envases y producción'!$E$5</f>
        <v>6</v>
      </c>
      <c r="H115" s="229">
        <f>+'MP, envases y producción'!$E$5</f>
        <v>6</v>
      </c>
      <c r="I115" s="229"/>
      <c r="J115" s="230"/>
      <c r="K115" s="231">
        <f>+'MP, envases y producción'!$B$5</f>
        <v>100000</v>
      </c>
      <c r="L115" s="164"/>
      <c r="M115" s="173"/>
      <c r="N115" s="164"/>
      <c r="O115" s="283">
        <f>+'rdo por cliente'!C24</f>
        <v>164</v>
      </c>
      <c r="P115" s="286">
        <f>+'rdo por cliente'!C25</f>
        <v>112</v>
      </c>
      <c r="Q115" s="164"/>
      <c r="R115" s="289">
        <f>+'rdo por cliente'!C26</f>
        <v>467194.33999999997</v>
      </c>
      <c r="S115" s="206"/>
      <c r="T115" s="161"/>
      <c r="U115" s="161"/>
      <c r="V115" s="161"/>
      <c r="W115" s="161"/>
      <c r="X115" s="161"/>
      <c r="Y115" s="161"/>
      <c r="Z115" s="161"/>
    </row>
    <row r="116" spans="1:34">
      <c r="B116" s="293"/>
      <c r="C116" s="281" t="str">
        <f>'coste produc-ABC'!D1</f>
        <v>Normal 33 cl.</v>
      </c>
      <c r="D116" s="282"/>
      <c r="E116" s="229">
        <f>+'MP, envases y producción'!$E$6</f>
        <v>18</v>
      </c>
      <c r="F116" s="229">
        <f>+'MP, envases y producción'!$E$6</f>
        <v>18</v>
      </c>
      <c r="G116" s="229">
        <f>+'MP, envases y producción'!$E$6</f>
        <v>18</v>
      </c>
      <c r="H116" s="229">
        <f>+'MP, envases y producción'!$E$6</f>
        <v>18</v>
      </c>
      <c r="I116" s="229"/>
      <c r="J116" s="231">
        <f>+'MP, envases y producción'!$B$6</f>
        <v>950000</v>
      </c>
      <c r="K116" s="232"/>
      <c r="L116" s="163"/>
      <c r="M116" s="174"/>
      <c r="N116" s="163"/>
      <c r="O116" s="284"/>
      <c r="P116" s="287"/>
      <c r="Q116" s="163"/>
      <c r="R116" s="290"/>
      <c r="S116" s="176"/>
      <c r="T116" s="161"/>
      <c r="U116" s="161"/>
      <c r="V116" s="161"/>
      <c r="W116" s="161"/>
      <c r="X116" s="161"/>
      <c r="Y116" s="161"/>
      <c r="Z116" s="161"/>
    </row>
    <row r="117" spans="1:34" ht="12.75" customHeight="1">
      <c r="B117" s="293"/>
      <c r="C117" s="281" t="str">
        <f>'coste produc-ABC'!E1</f>
        <v>Sin alcohol 1 l.</v>
      </c>
      <c r="D117" s="282"/>
      <c r="E117" s="229">
        <f>+'MP, envases y producción'!$I$5</f>
        <v>1</v>
      </c>
      <c r="F117" s="229">
        <f>+'MP, envases y producción'!$I$5</f>
        <v>1</v>
      </c>
      <c r="G117" s="229">
        <f>+'MP, envases y producción'!$I$5</f>
        <v>1</v>
      </c>
      <c r="H117" s="229">
        <f>+'MP, envases y producción'!$I$5</f>
        <v>1</v>
      </c>
      <c r="I117" s="248">
        <f>+'MP, envases y producción'!G5</f>
        <v>10000</v>
      </c>
      <c r="J117" s="231"/>
      <c r="K117" s="232">
        <f>+'MP, envases y producción'!$F$5</f>
        <v>10000</v>
      </c>
      <c r="L117" s="163"/>
      <c r="M117" s="163"/>
      <c r="N117" s="163"/>
      <c r="O117" s="284"/>
      <c r="P117" s="287"/>
      <c r="Q117" s="163"/>
      <c r="R117" s="290"/>
      <c r="S117" s="176"/>
      <c r="T117" s="161"/>
      <c r="U117" s="161"/>
      <c r="V117" s="161"/>
      <c r="W117" s="161"/>
      <c r="X117" s="161"/>
      <c r="Y117" s="161"/>
      <c r="Z117" s="161"/>
    </row>
    <row r="118" spans="1:34" ht="13.5" thickBot="1">
      <c r="B118" s="294"/>
      <c r="C118" s="281" t="str">
        <f>'coste produc-ABC'!F1</f>
        <v>Sin alcohol 33 cl.</v>
      </c>
      <c r="D118" s="282"/>
      <c r="E118" s="229">
        <f>+'MP, envases y producción'!$I$6</f>
        <v>3</v>
      </c>
      <c r="F118" s="229">
        <f>+'MP, envases y producción'!$I$6</f>
        <v>3</v>
      </c>
      <c r="G118" s="229">
        <f>+'MP, envases y producción'!$I$6</f>
        <v>3</v>
      </c>
      <c r="H118" s="229">
        <f>+'MP, envases y producción'!$I$6</f>
        <v>3</v>
      </c>
      <c r="I118" s="248">
        <f>+'MP, envases y producción'!G6</f>
        <v>32934</v>
      </c>
      <c r="J118" s="231">
        <f>+'MP, envases y producción'!$F$6</f>
        <v>99800</v>
      </c>
      <c r="K118" s="232"/>
      <c r="L118" s="163"/>
      <c r="M118" s="163"/>
      <c r="N118" s="163"/>
      <c r="O118" s="285"/>
      <c r="P118" s="288"/>
      <c r="Q118" s="163"/>
      <c r="R118" s="291"/>
      <c r="S118" s="176"/>
      <c r="T118" s="161"/>
      <c r="U118" s="161"/>
      <c r="V118" s="161"/>
      <c r="W118" s="161"/>
      <c r="X118" s="161"/>
      <c r="Y118" s="161"/>
      <c r="Z118" s="161"/>
    </row>
    <row r="119" spans="1:34" s="228" customFormat="1" ht="13.5" thickBot="1">
      <c r="A119" s="40"/>
      <c r="B119" s="40"/>
      <c r="C119" s="297" t="s">
        <v>36</v>
      </c>
      <c r="D119" s="298"/>
      <c r="E119" s="224">
        <f t="shared" ref="E119:K119" si="39">+E114/SUM(E115:E118)</f>
        <v>4966.4105525572613</v>
      </c>
      <c r="F119" s="224">
        <f t="shared" si="39"/>
        <v>627.69155370624208</v>
      </c>
      <c r="G119" s="224">
        <f t="shared" si="39"/>
        <v>535.09620459151699</v>
      </c>
      <c r="H119" s="224">
        <f t="shared" si="39"/>
        <v>752.13723673011566</v>
      </c>
      <c r="I119" s="224">
        <f>+I114/SUM(I115:I118)</f>
        <v>0.17494236231973886</v>
      </c>
      <c r="J119" s="224">
        <f t="shared" si="39"/>
        <v>3.4000829690777799E-2</v>
      </c>
      <c r="K119" s="224">
        <f t="shared" si="39"/>
        <v>0.15584000107596396</v>
      </c>
      <c r="L119" s="224"/>
      <c r="M119" s="224"/>
      <c r="N119" s="224"/>
      <c r="O119" s="224">
        <f>+O114/SUM(O115:O118)</f>
        <v>57.942395829671227</v>
      </c>
      <c r="P119" s="224">
        <f>+P114/SUM(P115:P118)</f>
        <v>176.6732774775258</v>
      </c>
      <c r="Q119" s="224"/>
      <c r="R119" s="224">
        <f>+R114/SUM(R115:R118)</f>
        <v>3.9212803819498328E-2</v>
      </c>
      <c r="S119" s="233"/>
    </row>
    <row r="120" spans="1:34">
      <c r="C120" s="281" t="str">
        <f>'coste produc-ABC'!C1</f>
        <v>Normal 1 l.</v>
      </c>
      <c r="D120" s="282"/>
      <c r="E120" s="178">
        <f t="shared" ref="E120:K120" si="40">+E$119*E115</f>
        <v>29798.463315343568</v>
      </c>
      <c r="F120" s="178">
        <f t="shared" si="40"/>
        <v>3766.1493222374525</v>
      </c>
      <c r="G120" s="178">
        <f t="shared" si="40"/>
        <v>3210.5772275491017</v>
      </c>
      <c r="H120" s="178">
        <f t="shared" si="40"/>
        <v>4512.8234203806942</v>
      </c>
      <c r="I120" s="178">
        <f t="shared" si="40"/>
        <v>0</v>
      </c>
      <c r="J120" s="178">
        <f t="shared" si="40"/>
        <v>0</v>
      </c>
      <c r="K120" s="178">
        <f t="shared" si="40"/>
        <v>15584.000107596396</v>
      </c>
      <c r="L120" s="175"/>
      <c r="M120" s="164"/>
      <c r="N120" s="175"/>
      <c r="O120" s="175"/>
      <c r="P120" s="175"/>
      <c r="Q120" s="175"/>
      <c r="R120" s="205"/>
      <c r="S120" s="207"/>
      <c r="T120" s="249">
        <f>SUM(E120:R120)</f>
        <v>56872.013393107212</v>
      </c>
      <c r="U120" s="161"/>
      <c r="V120" s="161"/>
      <c r="W120" s="161"/>
      <c r="X120" s="161"/>
      <c r="Y120" s="161"/>
      <c r="Z120" s="161"/>
    </row>
    <row r="121" spans="1:34">
      <c r="C121" s="281" t="str">
        <f>'coste produc-ABC'!D1</f>
        <v>Normal 33 cl.</v>
      </c>
      <c r="D121" s="282"/>
      <c r="E121" s="178">
        <f t="shared" ref="E121:I123" si="41">+E$119*E116</f>
        <v>89395.3899460307</v>
      </c>
      <c r="F121" s="178">
        <f t="shared" si="41"/>
        <v>11298.447966712358</v>
      </c>
      <c r="G121" s="178">
        <f t="shared" si="41"/>
        <v>9631.7316826473052</v>
      </c>
      <c r="H121" s="178">
        <f t="shared" si="41"/>
        <v>13538.470261142082</v>
      </c>
      <c r="I121" s="178">
        <f t="shared" si="41"/>
        <v>0</v>
      </c>
      <c r="J121" s="178">
        <f t="shared" ref="J121:K123" si="42">+J$119*J116</f>
        <v>32300.788206238911</v>
      </c>
      <c r="K121" s="178">
        <f t="shared" si="42"/>
        <v>0</v>
      </c>
      <c r="L121" s="163"/>
      <c r="M121" s="162"/>
      <c r="N121" s="163"/>
      <c r="O121" s="163"/>
      <c r="P121" s="163"/>
      <c r="Q121" s="163"/>
      <c r="R121" s="200"/>
      <c r="S121" s="207"/>
      <c r="T121" s="250">
        <f>SUM(E121:R121)</f>
        <v>156164.82806277135</v>
      </c>
      <c r="U121" s="161"/>
      <c r="V121" s="161"/>
      <c r="W121" s="161"/>
      <c r="X121" s="161"/>
      <c r="Y121" s="161"/>
      <c r="Z121" s="161"/>
    </row>
    <row r="122" spans="1:34">
      <c r="C122" s="281" t="str">
        <f>'coste produc-ABC'!E1</f>
        <v>Sin alcohol 1 l.</v>
      </c>
      <c r="D122" s="282"/>
      <c r="E122" s="178">
        <f t="shared" si="41"/>
        <v>4966.4105525572613</v>
      </c>
      <c r="F122" s="178">
        <f t="shared" si="41"/>
        <v>627.69155370624208</v>
      </c>
      <c r="G122" s="178">
        <f t="shared" si="41"/>
        <v>535.09620459151699</v>
      </c>
      <c r="H122" s="178">
        <f t="shared" si="41"/>
        <v>752.13723673011566</v>
      </c>
      <c r="I122" s="178">
        <f t="shared" si="41"/>
        <v>1749.4236231973887</v>
      </c>
      <c r="J122" s="178">
        <f t="shared" si="42"/>
        <v>0</v>
      </c>
      <c r="K122" s="178">
        <f t="shared" si="42"/>
        <v>1558.4000107596396</v>
      </c>
      <c r="L122" s="163"/>
      <c r="M122" s="162"/>
      <c r="N122" s="163"/>
      <c r="O122" s="163"/>
      <c r="P122" s="163"/>
      <c r="Q122" s="163"/>
      <c r="R122" s="200"/>
      <c r="S122" s="207"/>
      <c r="T122" s="250">
        <f>SUM(E122:R122)</f>
        <v>10189.159181542165</v>
      </c>
      <c r="U122" s="161"/>
      <c r="V122" s="161"/>
      <c r="W122" s="161"/>
      <c r="X122" s="161"/>
      <c r="Y122" s="161"/>
      <c r="Z122" s="161"/>
    </row>
    <row r="123" spans="1:34" ht="13.5" thickBot="1">
      <c r="C123" s="281" t="str">
        <f>'coste produc-ABC'!F1</f>
        <v>Sin alcohol 33 cl.</v>
      </c>
      <c r="D123" s="282"/>
      <c r="E123" s="178">
        <f t="shared" si="41"/>
        <v>14899.231657671784</v>
      </c>
      <c r="F123" s="178">
        <f t="shared" si="41"/>
        <v>1883.0746611187262</v>
      </c>
      <c r="G123" s="178">
        <f t="shared" si="41"/>
        <v>1605.2886137745509</v>
      </c>
      <c r="H123" s="178">
        <f t="shared" si="41"/>
        <v>2256.4117101903471</v>
      </c>
      <c r="I123" s="178">
        <f t="shared" si="41"/>
        <v>5761.55176063828</v>
      </c>
      <c r="J123" s="178">
        <f t="shared" si="42"/>
        <v>3393.2828031396243</v>
      </c>
      <c r="K123" s="178">
        <f t="shared" si="42"/>
        <v>0</v>
      </c>
      <c r="L123" s="163"/>
      <c r="M123" s="162"/>
      <c r="N123" s="163"/>
      <c r="O123" s="163"/>
      <c r="P123" s="163"/>
      <c r="Q123" s="163"/>
      <c r="R123" s="200"/>
      <c r="S123" s="207"/>
      <c r="T123" s="251">
        <f>SUM(E123:R123)</f>
        <v>29798.841206533314</v>
      </c>
      <c r="U123" s="161"/>
      <c r="V123" s="161"/>
      <c r="W123" s="161"/>
      <c r="X123" s="161"/>
      <c r="Y123" s="161"/>
      <c r="Z123" s="161"/>
    </row>
    <row r="124" spans="1:34">
      <c r="T124" s="161"/>
    </row>
    <row r="125" spans="1:34" s="366" customFormat="1">
      <c r="A125" s="365"/>
      <c r="B125" s="365"/>
      <c r="D125" s="367"/>
      <c r="E125" s="368"/>
      <c r="F125" s="368"/>
      <c r="G125" s="368"/>
      <c r="H125" s="368"/>
      <c r="I125" s="368"/>
      <c r="J125" s="368"/>
      <c r="K125" s="368"/>
      <c r="O125" s="369">
        <f>+O114</f>
        <v>9502.5529160660808</v>
      </c>
      <c r="P125" s="369">
        <f>+P114</f>
        <v>19787.407077482891</v>
      </c>
      <c r="R125" s="369">
        <f>+R114</f>
        <v>18320</v>
      </c>
      <c r="S125" s="369"/>
      <c r="T125" s="369">
        <f>SUM(E125:R125)</f>
        <v>47609.959993548968</v>
      </c>
      <c r="U125" s="370" t="s">
        <v>37</v>
      </c>
      <c r="V125" s="370"/>
      <c r="W125" s="370"/>
      <c r="X125" s="370"/>
      <c r="Y125" s="370"/>
      <c r="Z125" s="370"/>
    </row>
    <row r="126" spans="1:34" s="372" customFormat="1">
      <c r="A126" s="371"/>
      <c r="B126" s="371"/>
      <c r="D126" s="373"/>
      <c r="E126" s="374"/>
      <c r="F126" s="374"/>
      <c r="G126" s="374"/>
      <c r="H126" s="374"/>
      <c r="I126" s="374"/>
      <c r="J126" s="374"/>
      <c r="K126" s="374"/>
      <c r="L126" s="375">
        <f>+L114</f>
        <v>2315.6543257164158</v>
      </c>
      <c r="M126" s="375">
        <f>+M114</f>
        <v>4793.1141630295642</v>
      </c>
      <c r="N126" s="375">
        <f>+N114</f>
        <v>5739.9</v>
      </c>
      <c r="Q126" s="375">
        <f>+Q114</f>
        <v>7713.594280760818</v>
      </c>
      <c r="T126" s="375">
        <f>SUM(E126:R126)</f>
        <v>20562.262769506797</v>
      </c>
      <c r="U126" s="376" t="s">
        <v>38</v>
      </c>
      <c r="V126" s="376"/>
      <c r="W126" s="376"/>
      <c r="X126" s="376"/>
      <c r="Y126" s="376"/>
      <c r="Z126" s="376"/>
    </row>
    <row r="127" spans="1:34">
      <c r="T127" s="170">
        <f>SUM(T125:T126)</f>
        <v>68172.222763055761</v>
      </c>
    </row>
  </sheetData>
  <mergeCells count="24">
    <mergeCell ref="A1:A2"/>
    <mergeCell ref="D1:D2"/>
    <mergeCell ref="AA1:AC2"/>
    <mergeCell ref="AD1:AG2"/>
    <mergeCell ref="L1:N2"/>
    <mergeCell ref="O1:R2"/>
    <mergeCell ref="E1:K2"/>
    <mergeCell ref="T1:Z2"/>
    <mergeCell ref="C1:C2"/>
    <mergeCell ref="B1:B2"/>
    <mergeCell ref="R115:R118"/>
    <mergeCell ref="C123:D123"/>
    <mergeCell ref="B115:B118"/>
    <mergeCell ref="C115:D115"/>
    <mergeCell ref="C116:D116"/>
    <mergeCell ref="C117:D117"/>
    <mergeCell ref="C118:D118"/>
    <mergeCell ref="C119:D119"/>
    <mergeCell ref="C120:D120"/>
    <mergeCell ref="A3:C3"/>
    <mergeCell ref="C122:D122"/>
    <mergeCell ref="O115:O118"/>
    <mergeCell ref="P115:P118"/>
    <mergeCell ref="C121:D121"/>
  </mergeCells>
  <phoneticPr fontId="7" type="noConversion"/>
  <conditionalFormatting sqref="C1 C4">
    <cfRule type="cellIs" dxfId="5" priority="3" stopIfTrue="1" operator="equal">
      <formula>":)"</formula>
    </cfRule>
    <cfRule type="cellIs" dxfId="4" priority="4" stopIfTrue="1" operator="notEqual">
      <formula>"OK"</formula>
    </cfRule>
  </conditionalFormatting>
  <conditionalFormatting sqref="A1:A2">
    <cfRule type="expression" dxfId="3" priority="1" stopIfTrue="1">
      <formula>ABS(SUM(D54:D113)-SUM(E114:R114))&gt;0.0001</formula>
    </cfRule>
    <cfRule type="expression" dxfId="2" priority="2" stopIfTrue="1">
      <formula>ABS(SUM(D54:D113)-SUM(E114:R114))&lt;0.0001</formula>
    </cfRule>
  </conditionalFormatting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7"/>
  <sheetViews>
    <sheetView workbookViewId="0">
      <pane xSplit="9" ySplit="7" topLeftCell="J14" activePane="bottomRight" state="frozen"/>
      <selection pane="topRight" activeCell="J1" sqref="J1"/>
      <selection pane="bottomLeft" activeCell="A8" sqref="A8"/>
      <selection pane="bottomRight" activeCell="G15" sqref="G15"/>
    </sheetView>
  </sheetViews>
  <sheetFormatPr baseColWidth="10" defaultRowHeight="12.75"/>
  <cols>
    <col min="1" max="1" width="29.5703125" customWidth="1"/>
    <col min="2" max="2" width="14.42578125" bestFit="1" customWidth="1"/>
    <col min="3" max="3" width="11.85546875" bestFit="1" customWidth="1"/>
    <col min="4" max="4" width="12.140625" customWidth="1"/>
    <col min="5" max="5" width="10.5703125" customWidth="1"/>
    <col min="7" max="7" width="10.85546875" bestFit="1" customWidth="1"/>
    <col min="8" max="8" width="10.42578125" customWidth="1"/>
    <col min="9" max="9" width="11.7109375" customWidth="1"/>
    <col min="10" max="10" width="11.85546875" bestFit="1" customWidth="1"/>
    <col min="11" max="11" width="13.28515625" customWidth="1"/>
    <col min="12" max="12" width="1.28515625" customWidth="1"/>
    <col min="13" max="13" width="19.28515625" customWidth="1"/>
    <col min="14" max="14" width="13.140625" customWidth="1"/>
  </cols>
  <sheetData>
    <row r="1" spans="1:16" ht="15.75">
      <c r="A1" s="32" t="s">
        <v>15</v>
      </c>
      <c r="B1" s="327" t="s">
        <v>65</v>
      </c>
      <c r="C1" s="327"/>
      <c r="D1" s="327"/>
      <c r="E1" s="327"/>
      <c r="F1" s="327"/>
      <c r="G1" s="327"/>
      <c r="H1" s="327"/>
      <c r="I1" s="138"/>
      <c r="J1" s="325" t="s">
        <v>59</v>
      </c>
      <c r="K1" s="326"/>
      <c r="M1" s="8" t="s">
        <v>108</v>
      </c>
      <c r="N1" s="8"/>
      <c r="O1" s="8"/>
      <c r="P1" s="8"/>
    </row>
    <row r="2" spans="1:16" ht="15.75">
      <c r="A2" s="43" t="s">
        <v>63</v>
      </c>
      <c r="B2" s="332" t="s">
        <v>169</v>
      </c>
      <c r="C2" s="333"/>
      <c r="D2" s="333"/>
      <c r="E2" s="133"/>
      <c r="F2" s="334" t="s">
        <v>170</v>
      </c>
      <c r="G2" s="334"/>
      <c r="H2" s="334"/>
      <c r="I2" s="335"/>
      <c r="J2" s="46" t="s">
        <v>61</v>
      </c>
      <c r="K2" s="46" t="s">
        <v>62</v>
      </c>
      <c r="M2" s="52" t="s">
        <v>56</v>
      </c>
      <c r="N2" s="51">
        <v>22000</v>
      </c>
    </row>
    <row r="3" spans="1:16">
      <c r="A3" s="18" t="s">
        <v>44</v>
      </c>
      <c r="B3" s="328">
        <v>22</v>
      </c>
      <c r="C3" s="329"/>
      <c r="D3" s="50"/>
      <c r="E3" s="50"/>
      <c r="F3" s="328">
        <v>2</v>
      </c>
      <c r="G3" s="329"/>
      <c r="H3" s="50"/>
      <c r="I3" s="50"/>
      <c r="J3" s="328">
        <f>+B3+F3</f>
        <v>24</v>
      </c>
      <c r="K3" s="329"/>
      <c r="L3" s="44"/>
      <c r="M3" s="18" t="s">
        <v>51</v>
      </c>
      <c r="N3" s="56">
        <v>1150</v>
      </c>
      <c r="O3" s="139">
        <v>2.5000000000000001E-2</v>
      </c>
      <c r="P3" s="141">
        <f>+N3/1000*O3</f>
        <v>2.8749999999999998E-2</v>
      </c>
    </row>
    <row r="4" spans="1:16">
      <c r="A4" s="18" t="s">
        <v>45</v>
      </c>
      <c r="B4" s="330">
        <f>+C7/B3</f>
        <v>18795.454545454544</v>
      </c>
      <c r="C4" s="331"/>
      <c r="D4" s="53" t="s">
        <v>60</v>
      </c>
      <c r="E4" s="137" t="s">
        <v>107</v>
      </c>
      <c r="F4" s="330">
        <f>+G7/F3</f>
        <v>21467</v>
      </c>
      <c r="G4" s="331"/>
      <c r="H4" s="53" t="s">
        <v>60</v>
      </c>
      <c r="I4" s="137" t="s">
        <v>107</v>
      </c>
      <c r="J4" s="18"/>
      <c r="K4" s="18"/>
      <c r="M4" s="18" t="s">
        <v>52</v>
      </c>
      <c r="N4" s="57">
        <v>210</v>
      </c>
      <c r="O4" s="140">
        <v>1.07</v>
      </c>
      <c r="P4" s="141">
        <f>+N4/1000*O4</f>
        <v>0.22470000000000001</v>
      </c>
    </row>
    <row r="5" spans="1:16">
      <c r="A5" s="18" t="s">
        <v>57</v>
      </c>
      <c r="B5" s="48">
        <v>100000</v>
      </c>
      <c r="C5" s="45">
        <f>+B5*1</f>
        <v>100000</v>
      </c>
      <c r="D5" s="54">
        <f>+B5/864</f>
        <v>115.74074074074075</v>
      </c>
      <c r="E5" s="54">
        <v>6</v>
      </c>
      <c r="F5" s="48">
        <v>10000</v>
      </c>
      <c r="G5" s="45">
        <f>+F5*1</f>
        <v>10000</v>
      </c>
      <c r="H5" s="54">
        <f>+F5/864</f>
        <v>11.574074074074074</v>
      </c>
      <c r="I5" s="54">
        <v>1</v>
      </c>
      <c r="J5" s="45">
        <f>+C5+G5</f>
        <v>110000</v>
      </c>
      <c r="K5" s="48">
        <f>+B5+F5</f>
        <v>110000</v>
      </c>
      <c r="M5" s="18" t="s">
        <v>53</v>
      </c>
      <c r="N5" s="57">
        <v>0.85</v>
      </c>
      <c r="O5" s="140">
        <v>2.7</v>
      </c>
      <c r="P5" s="141">
        <f>+N5/1000*O5</f>
        <v>2.2950000000000002E-3</v>
      </c>
    </row>
    <row r="6" spans="1:16">
      <c r="A6" s="18" t="s">
        <v>58</v>
      </c>
      <c r="B6" s="48">
        <v>950000</v>
      </c>
      <c r="C6" s="45">
        <f>+B6*0.33</f>
        <v>313500</v>
      </c>
      <c r="D6" s="54">
        <f>+B6/3600</f>
        <v>263.88888888888891</v>
      </c>
      <c r="E6" s="54">
        <v>18</v>
      </c>
      <c r="F6" s="48">
        <v>99800</v>
      </c>
      <c r="G6" s="49">
        <f>+F6*0.33</f>
        <v>32934</v>
      </c>
      <c r="H6" s="54">
        <f>+F6/3600</f>
        <v>27.722222222222221</v>
      </c>
      <c r="I6" s="54">
        <v>3</v>
      </c>
      <c r="J6" s="45">
        <f>+C6+G6</f>
        <v>346434</v>
      </c>
      <c r="K6" s="48">
        <f>+B6+F6</f>
        <v>1049800</v>
      </c>
      <c r="M6" s="18" t="s">
        <v>54</v>
      </c>
      <c r="N6" s="57">
        <v>0.42</v>
      </c>
      <c r="O6" s="140">
        <v>3.0249999999999999</v>
      </c>
      <c r="P6" s="141">
        <f>+N6/1000*O6</f>
        <v>1.2704999999999999E-3</v>
      </c>
    </row>
    <row r="7" spans="1:16">
      <c r="C7" s="45">
        <f>SUM(C5:C6)</f>
        <v>413500</v>
      </c>
      <c r="D7" s="47"/>
      <c r="E7" s="47"/>
      <c r="G7" s="45">
        <f>SUM(G5:G6)</f>
        <v>42934</v>
      </c>
      <c r="H7" s="47"/>
      <c r="I7" s="47"/>
      <c r="J7" s="45">
        <f>SUM(C7:G7)</f>
        <v>456434</v>
      </c>
      <c r="K7" s="48">
        <f>SUM(K5:K6)</f>
        <v>1159800</v>
      </c>
      <c r="M7" s="18" t="s">
        <v>55</v>
      </c>
      <c r="N7" s="56">
        <v>50</v>
      </c>
      <c r="P7" s="141">
        <f>SUM(P3:P6)</f>
        <v>0.25701550000000001</v>
      </c>
    </row>
    <row r="8" spans="1:16">
      <c r="A8" s="2"/>
      <c r="B8" s="42"/>
    </row>
    <row r="9" spans="1:16" ht="15">
      <c r="A9" s="33" t="s">
        <v>66</v>
      </c>
      <c r="B9" s="36"/>
      <c r="H9" s="1"/>
      <c r="I9" s="1"/>
    </row>
    <row r="10" spans="1:16" ht="15">
      <c r="A10" s="34" t="str">
        <f>M3</f>
        <v>• Agua</v>
      </c>
      <c r="B10" s="27"/>
      <c r="C10" s="25" t="s">
        <v>46</v>
      </c>
      <c r="D10" s="25" t="s">
        <v>47</v>
      </c>
      <c r="E10" s="136"/>
    </row>
    <row r="11" spans="1:16">
      <c r="A11" s="28" t="s">
        <v>48</v>
      </c>
      <c r="B11" s="39">
        <v>28600</v>
      </c>
      <c r="C11" s="41">
        <v>2.8000000000000001E-2</v>
      </c>
      <c r="D11" s="30">
        <f>+B11*C11</f>
        <v>800.80000000000007</v>
      </c>
      <c r="E11" s="136"/>
    </row>
    <row r="12" spans="1:16">
      <c r="A12" s="28" t="s">
        <v>49</v>
      </c>
      <c r="B12" s="39">
        <v>563200</v>
      </c>
      <c r="C12" s="41">
        <v>2.3099999999999999E-2</v>
      </c>
      <c r="D12" s="30">
        <f>+B12*C12</f>
        <v>13009.92</v>
      </c>
      <c r="E12" s="136"/>
    </row>
    <row r="13" spans="1:16">
      <c r="A13" s="28" t="s">
        <v>50</v>
      </c>
      <c r="B13" s="39">
        <v>67810</v>
      </c>
      <c r="C13" s="41">
        <f>(D11+D12)/(B11+B12)</f>
        <v>2.3336802973977694E-2</v>
      </c>
      <c r="D13" s="31">
        <f>+B13*C13</f>
        <v>1582.4686096654275</v>
      </c>
      <c r="E13" s="136"/>
    </row>
    <row r="14" spans="1:16">
      <c r="A14" s="28" t="s">
        <v>64</v>
      </c>
      <c r="B14" s="39">
        <f>+B11+B12-B13</f>
        <v>523990</v>
      </c>
      <c r="C14" s="41">
        <f>(D11+D12)/(B11+B12)</f>
        <v>2.3336802973977694E-2</v>
      </c>
      <c r="D14" s="31">
        <f>+B14*C14</f>
        <v>12228.251390334572</v>
      </c>
      <c r="E14" s="136"/>
    </row>
    <row r="15" spans="1:16">
      <c r="D15" s="30"/>
      <c r="E15" s="136"/>
    </row>
    <row r="16" spans="1:16" ht="15">
      <c r="A16" s="34" t="str">
        <f>M4</f>
        <v>• Malta de cebada</v>
      </c>
      <c r="B16" s="27"/>
      <c r="C16" s="25" t="s">
        <v>46</v>
      </c>
      <c r="D16" s="25" t="s">
        <v>47</v>
      </c>
      <c r="E16" s="136"/>
    </row>
    <row r="17" spans="1:7">
      <c r="A17" s="28" t="s">
        <v>48</v>
      </c>
      <c r="B17" s="26">
        <v>13620</v>
      </c>
      <c r="C17" s="29">
        <v>1.05</v>
      </c>
      <c r="D17" s="30">
        <f>+B17*C17</f>
        <v>14301</v>
      </c>
      <c r="E17" s="136"/>
    </row>
    <row r="18" spans="1:7">
      <c r="A18" s="28" t="s">
        <v>49</v>
      </c>
      <c r="B18" s="26">
        <v>87450</v>
      </c>
      <c r="C18" s="29">
        <v>1.0860000000000001</v>
      </c>
      <c r="D18" s="30">
        <f>+B18*C18</f>
        <v>94970.700000000012</v>
      </c>
      <c r="E18" s="136"/>
    </row>
    <row r="19" spans="1:7">
      <c r="A19" s="28" t="s">
        <v>50</v>
      </c>
      <c r="B19" s="26">
        <v>5140</v>
      </c>
      <c r="C19" s="29">
        <f>(D17+D18)/(B17+B18)</f>
        <v>1.0811487088156724</v>
      </c>
      <c r="D19" s="31">
        <f>+B19*C19</f>
        <v>5557.1043633125564</v>
      </c>
      <c r="E19" s="136"/>
    </row>
    <row r="20" spans="1:7">
      <c r="A20" s="28" t="s">
        <v>64</v>
      </c>
      <c r="B20" s="26">
        <f>+B17+B18-B19</f>
        <v>95930</v>
      </c>
      <c r="C20" s="29">
        <f>(D17+D18)/(B17+B18)</f>
        <v>1.0811487088156724</v>
      </c>
      <c r="D20" s="30">
        <f>+B20*C20</f>
        <v>103714.59563668745</v>
      </c>
      <c r="E20" s="136"/>
    </row>
    <row r="21" spans="1:7">
      <c r="A21" s="35"/>
      <c r="B21" s="37"/>
      <c r="C21" s="38"/>
      <c r="E21" s="136"/>
    </row>
    <row r="22" spans="1:7" ht="15">
      <c r="A22" s="34" t="str">
        <f>M5</f>
        <v>• Lúpulo</v>
      </c>
      <c r="B22" s="27"/>
      <c r="C22" s="25" t="s">
        <v>46</v>
      </c>
      <c r="D22" s="25" t="s">
        <v>47</v>
      </c>
      <c r="E22" s="136"/>
    </row>
    <row r="23" spans="1:7">
      <c r="A23" s="28" t="s">
        <v>48</v>
      </c>
      <c r="B23" s="26">
        <v>754</v>
      </c>
      <c r="C23" s="29">
        <v>2.6</v>
      </c>
      <c r="D23" s="30">
        <f>+B23*C23</f>
        <v>1960.4</v>
      </c>
      <c r="E23" s="136"/>
    </row>
    <row r="24" spans="1:7">
      <c r="A24" s="28" t="s">
        <v>49</v>
      </c>
      <c r="B24" s="26">
        <v>2350</v>
      </c>
      <c r="C24" s="29">
        <v>2.65</v>
      </c>
      <c r="D24" s="30">
        <f>+B24*C24</f>
        <v>6227.5</v>
      </c>
      <c r="E24" s="136"/>
    </row>
    <row r="25" spans="1:7">
      <c r="A25" s="28" t="s">
        <v>50</v>
      </c>
      <c r="B25" s="26">
        <v>638</v>
      </c>
      <c r="C25" s="29">
        <f>(D23+D24)/(B23+B24)</f>
        <v>2.6378543814432986</v>
      </c>
      <c r="D25" s="31">
        <f>+B25*C25</f>
        <v>1682.9510953608246</v>
      </c>
      <c r="E25" s="25" t="s">
        <v>115</v>
      </c>
      <c r="F25" s="18" t="s">
        <v>116</v>
      </c>
      <c r="G25" s="18" t="s">
        <v>47</v>
      </c>
    </row>
    <row r="26" spans="1:7">
      <c r="A26" s="28" t="s">
        <v>64</v>
      </c>
      <c r="B26" s="26">
        <f>+B23+B24-B25</f>
        <v>2466</v>
      </c>
      <c r="C26" s="29">
        <f>(D23+D24)/(B23+B24)</f>
        <v>2.6378543814432986</v>
      </c>
      <c r="D26" s="30">
        <f>+B26*C26</f>
        <v>6504.9489046391745</v>
      </c>
      <c r="E26" s="234">
        <f>+J7*N5/1000</f>
        <v>387.96889999999996</v>
      </c>
      <c r="F26" s="235">
        <f>+B26-E26</f>
        <v>2078.0311000000002</v>
      </c>
      <c r="G26" s="235">
        <f>SUM(E26:F26)</f>
        <v>2466</v>
      </c>
    </row>
    <row r="27" spans="1:7">
      <c r="E27" s="236">
        <f>+E26/$G$26</f>
        <v>0.15732721005677208</v>
      </c>
      <c r="F27" s="236">
        <f>+F26/$G$26</f>
        <v>0.84267278994322792</v>
      </c>
      <c r="G27" s="237">
        <f>SUM(E27:F27)</f>
        <v>1</v>
      </c>
    </row>
    <row r="28" spans="1:7" ht="15">
      <c r="A28" s="34" t="str">
        <f>M6</f>
        <v>• Levadura de cerveza</v>
      </c>
      <c r="B28" s="27"/>
      <c r="C28" s="25" t="s">
        <v>46</v>
      </c>
      <c r="D28" s="25" t="s">
        <v>47</v>
      </c>
      <c r="E28" s="136"/>
    </row>
    <row r="29" spans="1:7">
      <c r="A29" s="28" t="s">
        <v>48</v>
      </c>
      <c r="B29" s="26">
        <v>38</v>
      </c>
      <c r="C29" s="29">
        <v>2.93</v>
      </c>
      <c r="D29" s="30">
        <f>+B29*C29</f>
        <v>111.34</v>
      </c>
      <c r="E29" s="136"/>
    </row>
    <row r="30" spans="1:7">
      <c r="A30" s="28" t="s">
        <v>49</v>
      </c>
      <c r="B30" s="26">
        <v>231</v>
      </c>
      <c r="C30" s="29">
        <v>2.85</v>
      </c>
      <c r="D30" s="30">
        <f>+B30*C30</f>
        <v>658.35</v>
      </c>
      <c r="E30" s="136"/>
    </row>
    <row r="31" spans="1:7">
      <c r="A31" s="28" t="s">
        <v>50</v>
      </c>
      <c r="B31" s="26">
        <v>84</v>
      </c>
      <c r="C31" s="29">
        <f>(D29+D30)/(B29+B30)</f>
        <v>2.8613011152416359</v>
      </c>
      <c r="D31" s="31">
        <f>+B31*C31</f>
        <v>240.34929368029742</v>
      </c>
      <c r="E31" s="136"/>
    </row>
    <row r="32" spans="1:7">
      <c r="A32" s="28" t="s">
        <v>64</v>
      </c>
      <c r="B32" s="26">
        <f>+B29+B30-B31</f>
        <v>185</v>
      </c>
      <c r="C32" s="29">
        <f>(D29+D30)/(B29+B30)</f>
        <v>2.8613011152416359</v>
      </c>
      <c r="D32" s="30">
        <f>+B32*C32</f>
        <v>529.34070631970269</v>
      </c>
      <c r="E32" s="136"/>
    </row>
    <row r="33" spans="1:5">
      <c r="E33" s="136"/>
    </row>
    <row r="34" spans="1:5">
      <c r="E34" s="136"/>
    </row>
    <row r="35" spans="1:5" ht="15">
      <c r="A35" s="33" t="s">
        <v>76</v>
      </c>
      <c r="B35" s="36"/>
      <c r="E35" s="136"/>
    </row>
    <row r="36" spans="1:5" ht="15">
      <c r="A36" s="34" t="str">
        <f>CONCATENATE(B2," ",A5)</f>
        <v>CERVEZA NORMAL ► botella 1 l.</v>
      </c>
      <c r="B36" s="27"/>
      <c r="C36" s="25" t="s">
        <v>46</v>
      </c>
      <c r="D36" s="25" t="s">
        <v>47</v>
      </c>
      <c r="E36" s="136"/>
    </row>
    <row r="37" spans="1:5">
      <c r="A37" s="28" t="s">
        <v>48</v>
      </c>
      <c r="B37" s="145">
        <v>28600</v>
      </c>
      <c r="C37" s="146">
        <v>6.2E-2</v>
      </c>
      <c r="D37" s="30">
        <f>+B37*C37</f>
        <v>1773.2</v>
      </c>
      <c r="E37" s="136"/>
    </row>
    <row r="38" spans="1:5">
      <c r="A38" s="28" t="s">
        <v>49</v>
      </c>
      <c r="B38" s="145">
        <v>84320</v>
      </c>
      <c r="C38" s="146">
        <v>7.2999999999999995E-2</v>
      </c>
      <c r="D38" s="30">
        <f>+B38*C38</f>
        <v>6155.36</v>
      </c>
      <c r="E38" s="136"/>
    </row>
    <row r="39" spans="1:5">
      <c r="A39" s="28" t="s">
        <v>50</v>
      </c>
      <c r="B39" s="145">
        <v>11325</v>
      </c>
      <c r="C39" s="146">
        <f>(D37+D38)/(B37+B38)</f>
        <v>7.0213956783563583E-2</v>
      </c>
      <c r="D39" s="31">
        <f>+B39*C39</f>
        <v>795.17306057385758</v>
      </c>
      <c r="E39" s="136"/>
    </row>
    <row r="40" spans="1:5">
      <c r="A40" s="28" t="s">
        <v>64</v>
      </c>
      <c r="B40" s="145">
        <f>+B37+B38-B39</f>
        <v>101595</v>
      </c>
      <c r="C40" s="146">
        <f>(D37+D38)/(B37+B38)</f>
        <v>7.0213956783563583E-2</v>
      </c>
      <c r="D40" s="31">
        <f>+B40*C40</f>
        <v>7133.3869394261419</v>
      </c>
      <c r="E40" s="136"/>
    </row>
    <row r="41" spans="1:5">
      <c r="D41" s="30"/>
      <c r="E41" s="136"/>
    </row>
    <row r="42" spans="1:5" ht="15">
      <c r="A42" s="34" t="str">
        <f>CONCATENATE(B2," ",A6)</f>
        <v>CERVEZA NORMAL ► lata 33 cl.</v>
      </c>
      <c r="B42" s="27"/>
      <c r="C42" s="25" t="s">
        <v>46</v>
      </c>
      <c r="D42" s="25" t="s">
        <v>47</v>
      </c>
      <c r="E42" s="136"/>
    </row>
    <row r="43" spans="1:5">
      <c r="A43" s="28" t="s">
        <v>48</v>
      </c>
      <c r="B43" s="145">
        <v>38750</v>
      </c>
      <c r="C43" s="146">
        <v>1.4E-2</v>
      </c>
      <c r="D43" s="30">
        <f>+B43*C43</f>
        <v>542.5</v>
      </c>
      <c r="E43" s="136"/>
    </row>
    <row r="44" spans="1:5">
      <c r="A44" s="28" t="s">
        <v>49</v>
      </c>
      <c r="B44" s="145">
        <v>932000</v>
      </c>
      <c r="C44" s="146">
        <v>1.6E-2</v>
      </c>
      <c r="D44" s="30">
        <f>+B44*C44</f>
        <v>14912</v>
      </c>
      <c r="E44" s="136"/>
    </row>
    <row r="45" spans="1:5">
      <c r="A45" s="28" t="s">
        <v>50</v>
      </c>
      <c r="B45" s="145">
        <v>19210</v>
      </c>
      <c r="C45" s="146">
        <f>(D43+D44)/(B43+B44)</f>
        <v>1.592016482101468E-2</v>
      </c>
      <c r="D45" s="31">
        <f>+B45*C45</f>
        <v>305.826366211692</v>
      </c>
      <c r="E45" s="136"/>
    </row>
    <row r="46" spans="1:5">
      <c r="A46" s="28" t="s">
        <v>64</v>
      </c>
      <c r="B46" s="145">
        <f>+B43+B44-B45</f>
        <v>951540</v>
      </c>
      <c r="C46" s="146">
        <f>(D43+D44)/(B43+B44)</f>
        <v>1.592016482101468E-2</v>
      </c>
      <c r="D46" s="30">
        <f>+B46*C46</f>
        <v>15148.673633788309</v>
      </c>
      <c r="E46" s="136"/>
    </row>
    <row r="47" spans="1:5">
      <c r="A47" s="35"/>
      <c r="B47" s="37"/>
      <c r="C47" s="38"/>
      <c r="E47" s="136"/>
    </row>
    <row r="48" spans="1:5" ht="15">
      <c r="A48" s="34" t="str">
        <f>CONCATENATE(F2," ",A5)</f>
        <v>CERVEZA SIN ALCOHOL ► botella 1 l.</v>
      </c>
      <c r="B48" s="27"/>
      <c r="C48" s="25" t="s">
        <v>46</v>
      </c>
      <c r="D48" s="25" t="s">
        <v>47</v>
      </c>
      <c r="E48" s="136"/>
    </row>
    <row r="49" spans="1:5">
      <c r="A49" s="28" t="s">
        <v>48</v>
      </c>
      <c r="B49" s="145">
        <v>850</v>
      </c>
      <c r="C49" s="146">
        <v>6.4000000000000001E-2</v>
      </c>
      <c r="D49" s="30">
        <f>+B49*C49</f>
        <v>54.4</v>
      </c>
      <c r="E49" s="136"/>
    </row>
    <row r="50" spans="1:5">
      <c r="A50" s="28" t="s">
        <v>49</v>
      </c>
      <c r="B50" s="145">
        <v>9650</v>
      </c>
      <c r="C50" s="146">
        <v>7.4999999999999997E-2</v>
      </c>
      <c r="D50" s="30">
        <f>+B50*C50</f>
        <v>723.75</v>
      </c>
      <c r="E50" s="136"/>
    </row>
    <row r="51" spans="1:5">
      <c r="A51" s="28" t="s">
        <v>50</v>
      </c>
      <c r="B51" s="145">
        <v>347</v>
      </c>
      <c r="C51" s="146">
        <f>(D49+D50)/(B49+B50)</f>
        <v>7.4109523809523806E-2</v>
      </c>
      <c r="D51" s="31">
        <f>+B51*C51</f>
        <v>25.71600476190476</v>
      </c>
      <c r="E51" s="136"/>
    </row>
    <row r="52" spans="1:5">
      <c r="A52" s="28" t="s">
        <v>64</v>
      </c>
      <c r="B52" s="145">
        <f>+B49+B50-B51</f>
        <v>10153</v>
      </c>
      <c r="C52" s="146">
        <f>(D49+D50)/(B49+B50)</f>
        <v>7.4109523809523806E-2</v>
      </c>
      <c r="D52" s="30">
        <f>+B52*C52</f>
        <v>752.43399523809524</v>
      </c>
      <c r="E52" s="136"/>
    </row>
    <row r="53" spans="1:5">
      <c r="E53" s="136"/>
    </row>
    <row r="54" spans="1:5" ht="15">
      <c r="A54" s="34" t="str">
        <f>CONCATENATE(F2," ",A6)</f>
        <v>CERVEZA SIN ALCOHOL ► lata 33 cl.</v>
      </c>
      <c r="B54" s="27"/>
      <c r="C54" s="25" t="s">
        <v>46</v>
      </c>
      <c r="D54" s="25" t="s">
        <v>47</v>
      </c>
      <c r="E54" s="136"/>
    </row>
    <row r="55" spans="1:5">
      <c r="A55" s="28" t="s">
        <v>48</v>
      </c>
      <c r="B55" s="145">
        <v>8700</v>
      </c>
      <c r="C55" s="146">
        <v>1.4999999999999999E-2</v>
      </c>
      <c r="D55" s="30">
        <f>+B55*C55</f>
        <v>130.5</v>
      </c>
      <c r="E55" s="136"/>
    </row>
    <row r="56" spans="1:5">
      <c r="A56" s="28" t="s">
        <v>49</v>
      </c>
      <c r="B56" s="145">
        <v>95400</v>
      </c>
      <c r="C56" s="146">
        <v>1.7000000000000001E-2</v>
      </c>
      <c r="D56" s="30">
        <f>+B56*C56</f>
        <v>1621.8000000000002</v>
      </c>
      <c r="E56" s="136"/>
    </row>
    <row r="57" spans="1:5">
      <c r="A57" s="28" t="s">
        <v>50</v>
      </c>
      <c r="B57" s="145">
        <v>3610</v>
      </c>
      <c r="C57" s="146">
        <f>(D55+D56)/(B55+B56)</f>
        <v>1.6832853025936602E-2</v>
      </c>
      <c r="D57" s="31">
        <f>+B57*C57</f>
        <v>60.766599423631135</v>
      </c>
      <c r="E57" s="136"/>
    </row>
    <row r="58" spans="1:5">
      <c r="A58" s="28" t="s">
        <v>64</v>
      </c>
      <c r="B58" s="145">
        <f>+B55+B56-B57</f>
        <v>100490</v>
      </c>
      <c r="C58" s="146">
        <f>(D55+D56)/(B55+B56)</f>
        <v>1.6832853025936602E-2</v>
      </c>
      <c r="D58" s="30">
        <f>+B58*C58</f>
        <v>1691.5334005763691</v>
      </c>
      <c r="E58" s="136"/>
    </row>
    <row r="59" spans="1:5">
      <c r="E59" s="136"/>
    </row>
    <row r="60" spans="1:5">
      <c r="E60" s="136"/>
    </row>
    <row r="61" spans="1:5">
      <c r="E61" s="136"/>
    </row>
    <row r="62" spans="1:5">
      <c r="E62" s="136"/>
    </row>
    <row r="63" spans="1:5">
      <c r="E63" s="136"/>
    </row>
    <row r="64" spans="1:5">
      <c r="E64" s="136"/>
    </row>
    <row r="65" spans="5:5">
      <c r="E65" s="136"/>
    </row>
    <row r="66" spans="5:5">
      <c r="E66" s="136"/>
    </row>
    <row r="67" spans="5:5">
      <c r="E67" s="136"/>
    </row>
    <row r="68" spans="5:5">
      <c r="E68" s="136"/>
    </row>
    <row r="69" spans="5:5">
      <c r="E69" s="136"/>
    </row>
    <row r="70" spans="5:5">
      <c r="E70" s="136"/>
    </row>
    <row r="71" spans="5:5">
      <c r="E71" s="136"/>
    </row>
    <row r="72" spans="5:5">
      <c r="E72" s="136"/>
    </row>
    <row r="73" spans="5:5">
      <c r="E73" s="136"/>
    </row>
    <row r="74" spans="5:5">
      <c r="E74" s="136"/>
    </row>
    <row r="75" spans="5:5">
      <c r="E75" s="136"/>
    </row>
    <row r="76" spans="5:5">
      <c r="E76" s="136"/>
    </row>
    <row r="77" spans="5:5">
      <c r="E77" s="136"/>
    </row>
  </sheetData>
  <mergeCells count="9">
    <mergeCell ref="J1:K1"/>
    <mergeCell ref="B1:H1"/>
    <mergeCell ref="J3:K3"/>
    <mergeCell ref="B3:C3"/>
    <mergeCell ref="B4:C4"/>
    <mergeCell ref="F3:G3"/>
    <mergeCell ref="F4:G4"/>
    <mergeCell ref="B2:D2"/>
    <mergeCell ref="F2:I2"/>
  </mergeCells>
  <phoneticPr fontId="7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zoomScaleNormal="85" workbookViewId="0">
      <selection activeCell="G24" sqref="G24"/>
    </sheetView>
  </sheetViews>
  <sheetFormatPr baseColWidth="10" defaultRowHeight="12.75"/>
  <cols>
    <col min="1" max="1" width="11.28515625" customWidth="1"/>
    <col min="2" max="2" width="29" customWidth="1"/>
    <col min="3" max="3" width="13" customWidth="1"/>
    <col min="4" max="4" width="10.28515625" customWidth="1"/>
    <col min="5" max="5" width="10.85546875" customWidth="1"/>
    <col min="6" max="6" width="10" customWidth="1"/>
    <col min="7" max="7" width="9" customWidth="1"/>
    <col min="8" max="21" width="4" customWidth="1"/>
    <col min="22" max="22" width="9.7109375" bestFit="1" customWidth="1"/>
    <col min="33" max="33" width="12.5703125" customWidth="1"/>
  </cols>
  <sheetData>
    <row r="1" spans="1:22">
      <c r="H1" s="340" t="s">
        <v>17</v>
      </c>
      <c r="I1" s="340"/>
      <c r="J1" s="340"/>
      <c r="K1" s="340"/>
      <c r="L1" s="340"/>
      <c r="M1" s="340"/>
      <c r="N1" s="340"/>
      <c r="O1" s="341" t="s">
        <v>104</v>
      </c>
      <c r="P1" s="341"/>
      <c r="Q1" s="341"/>
      <c r="R1" s="336" t="s">
        <v>19</v>
      </c>
      <c r="S1" s="336"/>
      <c r="T1" s="336"/>
      <c r="U1" s="336"/>
    </row>
    <row r="2" spans="1:22" ht="29.25" customHeight="1">
      <c r="A2" s="135" t="str">
        <f>IF(V18=F18,":)",":(")</f>
        <v>:)</v>
      </c>
      <c r="H2" s="337" t="str">
        <f>'saldos 31.01.2015 y reparto ABC'!E3</f>
        <v>1. Mezclado</v>
      </c>
      <c r="I2" s="337" t="str">
        <f>'saldos 31.01.2015 y reparto ABC'!F3</f>
        <v>2. Ebullición</v>
      </c>
      <c r="J2" s="337" t="str">
        <f>'saldos 31.01.2015 y reparto ABC'!G3</f>
        <v>3. Flitrado</v>
      </c>
      <c r="K2" s="337" t="str">
        <f>'saldos 31.01.2015 y reparto ABC'!H3</f>
        <v>4. Fermentación</v>
      </c>
      <c r="L2" s="337" t="str">
        <f>'saldos 31.01.2015 y reparto ABC'!I3</f>
        <v>5. Evaporación del alcohol</v>
      </c>
      <c r="M2" s="337" t="str">
        <f>'saldos 31.01.2015 y reparto ABC'!J3</f>
        <v>6a. Enlatado</v>
      </c>
      <c r="N2" s="337" t="str">
        <f>'saldos 31.01.2015 y reparto ABC'!K3</f>
        <v>6b. Embotellado</v>
      </c>
      <c r="O2" s="338" t="str">
        <f>'saldos 31.01.2015 y reparto ABC'!L3</f>
        <v>1. Gerencia</v>
      </c>
      <c r="P2" s="338" t="str">
        <f>'saldos 31.01.2015 y reparto ABC'!M3</f>
        <v>2. Contab./fiscal</v>
      </c>
      <c r="Q2" s="338" t="str">
        <f>'saldos 31.01.2015 y reparto ABC'!N3</f>
        <v>3. Limpieza</v>
      </c>
      <c r="R2" s="345" t="str">
        <f>'saldos 31.01.2015 y reparto ABC'!O3</f>
        <v>1. Gestión clientes</v>
      </c>
      <c r="S2" s="345" t="str">
        <f>'saldos 31.01.2015 y reparto ABC'!P3</f>
        <v>2. Promociones</v>
      </c>
      <c r="T2" s="345" t="str">
        <f>'saldos 31.01.2015 y reparto ABC'!Q3</f>
        <v xml:space="preserve">  3. Publicidad</v>
      </c>
      <c r="U2" s="345" t="str">
        <f>'saldos 31.01.2015 y reparto ABC'!R3</f>
        <v>4. Distribución</v>
      </c>
    </row>
    <row r="3" spans="1:22">
      <c r="H3" s="337"/>
      <c r="I3" s="337"/>
      <c r="J3" s="337"/>
      <c r="K3" s="337"/>
      <c r="L3" s="337"/>
      <c r="M3" s="337"/>
      <c r="N3" s="337"/>
      <c r="O3" s="338"/>
      <c r="P3" s="338"/>
      <c r="Q3" s="338"/>
      <c r="R3" s="345"/>
      <c r="S3" s="345"/>
      <c r="T3" s="345"/>
      <c r="U3" s="345"/>
    </row>
    <row r="4" spans="1:22" ht="15.75">
      <c r="B4" s="24" t="s">
        <v>73</v>
      </c>
      <c r="D4" t="s">
        <v>67</v>
      </c>
      <c r="H4" s="337"/>
      <c r="I4" s="337"/>
      <c r="J4" s="337"/>
      <c r="K4" s="337"/>
      <c r="L4" s="337"/>
      <c r="M4" s="337"/>
      <c r="N4" s="337"/>
      <c r="O4" s="338"/>
      <c r="P4" s="338"/>
      <c r="Q4" s="338"/>
      <c r="R4" s="345"/>
      <c r="S4" s="345"/>
      <c r="T4" s="345"/>
      <c r="U4" s="345"/>
    </row>
    <row r="5" spans="1:22" ht="15.75">
      <c r="B5" s="60" t="s">
        <v>15</v>
      </c>
      <c r="D5" s="128">
        <f>+'saldos 31.01.2015 y reparto ABC'!C90/SUM('saldos 31.01.2015 y reparto ABC'!C80:C89)</f>
        <v>0.33928373433861847</v>
      </c>
      <c r="H5" s="337"/>
      <c r="I5" s="337"/>
      <c r="J5" s="337"/>
      <c r="K5" s="337"/>
      <c r="L5" s="337"/>
      <c r="M5" s="337"/>
      <c r="N5" s="337"/>
      <c r="O5" s="338"/>
      <c r="P5" s="338"/>
      <c r="Q5" s="338"/>
      <c r="R5" s="345"/>
      <c r="S5" s="345"/>
      <c r="T5" s="345"/>
      <c r="U5" s="345"/>
    </row>
    <row r="6" spans="1:22" ht="15.75">
      <c r="B6" s="24" t="s">
        <v>63</v>
      </c>
      <c r="C6" s="339" t="s">
        <v>68</v>
      </c>
      <c r="D6" s="339"/>
      <c r="E6" s="339"/>
      <c r="F6" s="40"/>
      <c r="G6" s="40"/>
      <c r="H6" s="337"/>
      <c r="I6" s="337"/>
      <c r="J6" s="337"/>
      <c r="K6" s="337"/>
      <c r="L6" s="337"/>
      <c r="M6" s="337"/>
      <c r="N6" s="337"/>
      <c r="O6" s="338"/>
      <c r="P6" s="338"/>
      <c r="Q6" s="338"/>
      <c r="R6" s="345"/>
      <c r="S6" s="345"/>
      <c r="T6" s="345"/>
      <c r="U6" s="345"/>
    </row>
    <row r="7" spans="1:22" ht="27.75" customHeight="1">
      <c r="A7" s="8" t="s">
        <v>0</v>
      </c>
      <c r="B7" s="8" t="s">
        <v>69</v>
      </c>
      <c r="C7" s="46" t="s">
        <v>70</v>
      </c>
      <c r="D7" s="46" t="s">
        <v>71</v>
      </c>
      <c r="E7" s="46" t="s">
        <v>12</v>
      </c>
      <c r="F7" s="8" t="s">
        <v>72</v>
      </c>
      <c r="G7" s="129" t="s">
        <v>100</v>
      </c>
      <c r="H7" s="342" t="s">
        <v>72</v>
      </c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4"/>
    </row>
    <row r="8" spans="1:22">
      <c r="A8" s="16">
        <f>'saldos 31.01.2015 y reparto ABC'!A80</f>
        <v>6400000001</v>
      </c>
      <c r="B8" s="16" t="str">
        <f>'saldos 31.01.2015 y reparto ABC'!B80</f>
        <v>GERENTE-ATG</v>
      </c>
      <c r="C8" s="61">
        <f>'saldos 31.01.2015 y reparto ABC'!C80</f>
        <v>4800</v>
      </c>
      <c r="D8" s="61">
        <f t="shared" ref="D8:D17" si="0">+C8*$D$5</f>
        <v>1628.5619248253686</v>
      </c>
      <c r="E8" s="61">
        <f t="shared" ref="E8:E17" si="1">+D8+C8</f>
        <v>6428.5619248253688</v>
      </c>
      <c r="F8" s="62">
        <v>176</v>
      </c>
      <c r="G8" s="130">
        <f t="shared" ref="G8:G17" si="2">+E8/F8</f>
        <v>36.525920027416866</v>
      </c>
      <c r="H8" s="134"/>
      <c r="I8" s="134"/>
      <c r="J8" s="134"/>
      <c r="K8" s="134"/>
      <c r="L8" s="134"/>
      <c r="M8" s="134"/>
      <c r="N8" s="134"/>
      <c r="O8" s="134">
        <v>176</v>
      </c>
      <c r="P8" s="134"/>
      <c r="Q8" s="134"/>
      <c r="R8" s="134"/>
      <c r="S8" s="134"/>
      <c r="T8" s="134"/>
      <c r="U8" s="134"/>
      <c r="V8" s="63">
        <f t="shared" ref="V8:V17" si="3">SUM(H8:U8)</f>
        <v>176</v>
      </c>
    </row>
    <row r="9" spans="1:22">
      <c r="A9" s="16">
        <f>'saldos 31.01.2015 y reparto ABC'!A81</f>
        <v>6400000002</v>
      </c>
      <c r="B9" s="16" t="str">
        <f>'saldos 31.01.2015 y reparto ABC'!B81</f>
        <v>JEFE ADMINISTRACIÓN-EDB</v>
      </c>
      <c r="C9" s="61">
        <f>'saldos 31.01.2015 y reparto ABC'!C81</f>
        <v>3900</v>
      </c>
      <c r="D9" s="61">
        <f t="shared" si="0"/>
        <v>1323.2065639206121</v>
      </c>
      <c r="E9" s="61">
        <f t="shared" si="1"/>
        <v>5223.2065639206121</v>
      </c>
      <c r="F9" s="62">
        <v>176</v>
      </c>
      <c r="G9" s="130">
        <f t="shared" si="2"/>
        <v>29.677310022276206</v>
      </c>
      <c r="H9" s="134"/>
      <c r="I9" s="134"/>
      <c r="J9" s="134"/>
      <c r="K9" s="134"/>
      <c r="L9" s="134"/>
      <c r="M9" s="134"/>
      <c r="N9" s="134"/>
      <c r="O9" s="134">
        <v>40</v>
      </c>
      <c r="P9" s="134">
        <v>136</v>
      </c>
      <c r="Q9" s="134"/>
      <c r="R9" s="134"/>
      <c r="S9" s="134"/>
      <c r="T9" s="134"/>
      <c r="U9" s="134"/>
      <c r="V9" s="63">
        <f t="shared" si="3"/>
        <v>176</v>
      </c>
    </row>
    <row r="10" spans="1:22">
      <c r="A10" s="16">
        <f>'saldos 31.01.2015 y reparto ABC'!A82</f>
        <v>6400000003</v>
      </c>
      <c r="B10" s="16" t="str">
        <f>'saldos 31.01.2015 y reparto ABC'!B82</f>
        <v>DIRECTOR COMERCIAL-LMBA</v>
      </c>
      <c r="C10" s="61">
        <f>'saldos 31.01.2015 y reparto ABC'!C82</f>
        <v>3700</v>
      </c>
      <c r="D10" s="61">
        <f t="shared" si="0"/>
        <v>1255.3498170528883</v>
      </c>
      <c r="E10" s="61">
        <f t="shared" si="1"/>
        <v>4955.3498170528883</v>
      </c>
      <c r="F10" s="62">
        <v>176</v>
      </c>
      <c r="G10" s="130">
        <f t="shared" si="2"/>
        <v>28.155396687800501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>
        <v>120</v>
      </c>
      <c r="S10" s="134">
        <v>20</v>
      </c>
      <c r="T10" s="134">
        <v>36</v>
      </c>
      <c r="U10" s="134"/>
      <c r="V10" s="63">
        <f t="shared" si="3"/>
        <v>176</v>
      </c>
    </row>
    <row r="11" spans="1:22">
      <c r="A11" s="16">
        <f>'saldos 31.01.2015 y reparto ABC'!A83</f>
        <v>6400000004</v>
      </c>
      <c r="B11" s="16" t="str">
        <f>'saldos 31.01.2015 y reparto ABC'!B83</f>
        <v>COMERCIAL-SMG</v>
      </c>
      <c r="C11" s="61">
        <f>'saldos 31.01.2015 y reparto ABC'!C83</f>
        <v>2650</v>
      </c>
      <c r="D11" s="61">
        <f t="shared" si="0"/>
        <v>899.10189599733894</v>
      </c>
      <c r="E11" s="61">
        <f t="shared" si="1"/>
        <v>3549.1018959973389</v>
      </c>
      <c r="F11" s="62">
        <v>176</v>
      </c>
      <c r="G11" s="130">
        <f t="shared" si="2"/>
        <v>20.165351681803063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>
        <v>150</v>
      </c>
      <c r="S11" s="134">
        <v>26</v>
      </c>
      <c r="T11" s="134"/>
      <c r="U11" s="134"/>
      <c r="V11" s="63">
        <f t="shared" si="3"/>
        <v>176</v>
      </c>
    </row>
    <row r="12" spans="1:22">
      <c r="A12" s="16">
        <f>'saldos 31.01.2015 y reparto ABC'!A84</f>
        <v>6400000005</v>
      </c>
      <c r="B12" s="16" t="str">
        <f>'saldos 31.01.2015 y reparto ABC'!B84</f>
        <v>COMERCIAL-BBL</v>
      </c>
      <c r="C12" s="61">
        <f>'saldos 31.01.2015 y reparto ABC'!C84</f>
        <v>2314</v>
      </c>
      <c r="D12" s="61">
        <f t="shared" si="0"/>
        <v>785.10256125956312</v>
      </c>
      <c r="E12" s="61">
        <f t="shared" si="1"/>
        <v>3099.1025612595631</v>
      </c>
      <c r="F12" s="62">
        <v>176</v>
      </c>
      <c r="G12" s="130">
        <f t="shared" si="2"/>
        <v>17.60853727988388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>
        <v>176</v>
      </c>
      <c r="S12" s="134"/>
      <c r="T12" s="134"/>
      <c r="U12" s="134"/>
      <c r="V12" s="63">
        <f t="shared" si="3"/>
        <v>176</v>
      </c>
    </row>
    <row r="13" spans="1:22">
      <c r="A13" s="16">
        <f>'saldos 31.01.2015 y reparto ABC'!A85</f>
        <v>6400000006</v>
      </c>
      <c r="B13" s="16" t="str">
        <f>'saldos 31.01.2015 y reparto ABC'!B85</f>
        <v>SUPERVISOR FÁBRICA-AMRG</v>
      </c>
      <c r="C13" s="61">
        <f>'saldos 31.01.2015 y reparto ABC'!C85</f>
        <v>3400</v>
      </c>
      <c r="D13" s="61">
        <f t="shared" si="0"/>
        <v>1153.5646967513028</v>
      </c>
      <c r="E13" s="61">
        <f t="shared" si="1"/>
        <v>4553.564696751303</v>
      </c>
      <c r="F13" s="62">
        <v>174</v>
      </c>
      <c r="G13" s="130">
        <f t="shared" si="2"/>
        <v>26.169912050294844</v>
      </c>
      <c r="H13" s="134">
        <v>20</v>
      </c>
      <c r="I13" s="134">
        <v>25</v>
      </c>
      <c r="J13" s="134">
        <v>34</v>
      </c>
      <c r="K13" s="134">
        <v>17</v>
      </c>
      <c r="L13" s="134">
        <v>29</v>
      </c>
      <c r="M13" s="134">
        <v>24</v>
      </c>
      <c r="N13" s="134">
        <v>25</v>
      </c>
      <c r="O13" s="134"/>
      <c r="P13" s="134"/>
      <c r="Q13" s="134"/>
      <c r="R13" s="134"/>
      <c r="S13" s="134"/>
      <c r="T13" s="134"/>
      <c r="U13" s="134"/>
      <c r="V13" s="63">
        <f>SUM(H13:U13)</f>
        <v>174</v>
      </c>
    </row>
    <row r="14" spans="1:22">
      <c r="A14" s="16">
        <f>'saldos 31.01.2015 y reparto ABC'!A86</f>
        <v>6400000007</v>
      </c>
      <c r="B14" s="16" t="str">
        <f>'saldos 31.01.2015 y reparto ABC'!B86</f>
        <v>OPERADOR PLANTA-TPL</v>
      </c>
      <c r="C14" s="61">
        <f>'saldos 31.01.2015 y reparto ABC'!C86</f>
        <v>1760</v>
      </c>
      <c r="D14" s="61">
        <f t="shared" si="0"/>
        <v>597.13937243596854</v>
      </c>
      <c r="E14" s="61">
        <f t="shared" si="1"/>
        <v>2357.1393724359687</v>
      </c>
      <c r="F14" s="62">
        <v>178</v>
      </c>
      <c r="G14" s="130">
        <f t="shared" si="2"/>
        <v>13.242356024921172</v>
      </c>
      <c r="H14" s="134"/>
      <c r="I14" s="134">
        <v>40</v>
      </c>
      <c r="J14" s="134">
        <v>19</v>
      </c>
      <c r="K14" s="134"/>
      <c r="L14" s="134">
        <v>36</v>
      </c>
      <c r="M14" s="134">
        <v>49</v>
      </c>
      <c r="N14" s="134">
        <v>34</v>
      </c>
      <c r="O14" s="134"/>
      <c r="P14" s="134"/>
      <c r="Q14" s="134"/>
      <c r="R14" s="134"/>
      <c r="S14" s="134"/>
      <c r="T14" s="134"/>
      <c r="U14" s="134"/>
      <c r="V14" s="63">
        <f t="shared" si="3"/>
        <v>178</v>
      </c>
    </row>
    <row r="15" spans="1:22">
      <c r="A15" s="16">
        <f>'saldos 31.01.2015 y reparto ABC'!A87</f>
        <v>6400000008</v>
      </c>
      <c r="B15" s="16" t="str">
        <f>'saldos 31.01.2015 y reparto ABC'!B87</f>
        <v>OPERADOR PLANTA-JCS</v>
      </c>
      <c r="C15" s="61">
        <f>'saldos 31.01.2015 y reparto ABC'!C87</f>
        <v>1498</v>
      </c>
      <c r="D15" s="61">
        <f t="shared" si="0"/>
        <v>508.24703403925048</v>
      </c>
      <c r="E15" s="61">
        <f t="shared" si="1"/>
        <v>2006.2470340392506</v>
      </c>
      <c r="F15" s="62">
        <v>168</v>
      </c>
      <c r="G15" s="130">
        <f t="shared" si="2"/>
        <v>11.941946631186015</v>
      </c>
      <c r="H15" s="134">
        <v>60</v>
      </c>
      <c r="I15" s="134"/>
      <c r="J15" s="134"/>
      <c r="K15" s="134">
        <v>54</v>
      </c>
      <c r="L15" s="134">
        <v>54</v>
      </c>
      <c r="M15" s="134"/>
      <c r="N15" s="134"/>
      <c r="O15" s="134"/>
      <c r="P15" s="134"/>
      <c r="Q15" s="134"/>
      <c r="R15" s="134"/>
      <c r="S15" s="134"/>
      <c r="T15" s="134"/>
      <c r="U15" s="134"/>
      <c r="V15" s="63">
        <f t="shared" si="3"/>
        <v>168</v>
      </c>
    </row>
    <row r="16" spans="1:22">
      <c r="A16" s="16">
        <f>'saldos 31.01.2015 y reparto ABC'!A88</f>
        <v>6400000009</v>
      </c>
      <c r="B16" s="16" t="str">
        <f>'saldos 31.01.2015 y reparto ABC'!B88</f>
        <v>OPERADOR PLANTA-JABC</v>
      </c>
      <c r="C16" s="61">
        <f>'saldos 31.01.2015 y reparto ABC'!C88</f>
        <v>1670</v>
      </c>
      <c r="D16" s="61">
        <f t="shared" si="0"/>
        <v>566.60383634549282</v>
      </c>
      <c r="E16" s="61">
        <f t="shared" si="1"/>
        <v>2236.6038363454927</v>
      </c>
      <c r="F16" s="62">
        <v>172</v>
      </c>
      <c r="G16" s="130">
        <f t="shared" si="2"/>
        <v>13.003510676427283</v>
      </c>
      <c r="H16" s="134">
        <v>38</v>
      </c>
      <c r="I16" s="134"/>
      <c r="J16" s="134">
        <v>48</v>
      </c>
      <c r="K16" s="134"/>
      <c r="L16" s="134"/>
      <c r="M16" s="134">
        <v>60</v>
      </c>
      <c r="N16" s="134">
        <v>26</v>
      </c>
      <c r="O16" s="134"/>
      <c r="P16" s="134"/>
      <c r="Q16" s="134"/>
      <c r="R16" s="134"/>
      <c r="S16" s="134"/>
      <c r="T16" s="134"/>
      <c r="U16" s="134"/>
      <c r="V16" s="63">
        <f t="shared" si="3"/>
        <v>172</v>
      </c>
    </row>
    <row r="17" spans="1:33">
      <c r="A17" s="16">
        <f>'saldos 31.01.2015 y reparto ABC'!A89</f>
        <v>6400000010</v>
      </c>
      <c r="B17" s="16" t="str">
        <f>'saldos 31.01.2015 y reparto ABC'!B89</f>
        <v>OPERADOR PLANTA-SMH</v>
      </c>
      <c r="C17" s="61">
        <f>'saldos 31.01.2015 y reparto ABC'!C89</f>
        <v>1365</v>
      </c>
      <c r="D17" s="61">
        <f t="shared" si="0"/>
        <v>463.12229737221423</v>
      </c>
      <c r="E17" s="61">
        <f t="shared" si="1"/>
        <v>1828.1222973722142</v>
      </c>
      <c r="F17" s="62">
        <v>174</v>
      </c>
      <c r="G17" s="130">
        <f t="shared" si="2"/>
        <v>10.506449984897783</v>
      </c>
      <c r="H17" s="134"/>
      <c r="I17" s="134">
        <v>80</v>
      </c>
      <c r="J17" s="134"/>
      <c r="K17" s="134">
        <v>54</v>
      </c>
      <c r="L17" s="134">
        <v>40</v>
      </c>
      <c r="M17" s="134"/>
      <c r="N17" s="134"/>
      <c r="O17" s="134"/>
      <c r="P17" s="134"/>
      <c r="Q17" s="134"/>
      <c r="R17" s="134"/>
      <c r="S17" s="134"/>
      <c r="T17" s="134"/>
      <c r="U17" s="134"/>
      <c r="V17" s="63">
        <f t="shared" si="3"/>
        <v>174</v>
      </c>
    </row>
    <row r="18" spans="1:33" ht="13.5" customHeight="1">
      <c r="C18" s="59">
        <f>SUM(C8:C17)</f>
        <v>27057</v>
      </c>
      <c r="D18" s="59">
        <f>SUM(D8:D17)</f>
        <v>9180</v>
      </c>
      <c r="E18" s="59">
        <f>SUM(E8:E17)</f>
        <v>36237</v>
      </c>
      <c r="F18" s="63">
        <f>SUM(F8:F17)</f>
        <v>1746</v>
      </c>
      <c r="H18" s="64"/>
      <c r="V18" s="63">
        <f>SUM(V8:V17)</f>
        <v>1746</v>
      </c>
    </row>
    <row r="19" spans="1:33">
      <c r="B19" s="65"/>
      <c r="C19" s="66"/>
      <c r="D19" s="66"/>
      <c r="E19" s="66"/>
      <c r="AF19" t="s">
        <v>74</v>
      </c>
      <c r="AG19" t="s">
        <v>75</v>
      </c>
    </row>
    <row r="20" spans="1:33">
      <c r="B20" s="65"/>
      <c r="C20" s="66"/>
      <c r="D20" s="66"/>
      <c r="E20" s="66"/>
    </row>
    <row r="21" spans="1:33">
      <c r="B21" s="65"/>
      <c r="C21" s="66"/>
      <c r="D21" s="66"/>
      <c r="E21" s="66"/>
    </row>
    <row r="22" spans="1:33">
      <c r="B22" s="65"/>
      <c r="C22" s="66"/>
      <c r="D22" s="66"/>
      <c r="E22" s="66"/>
    </row>
    <row r="23" spans="1:33">
      <c r="B23" s="65"/>
      <c r="C23" s="66"/>
      <c r="D23" s="66"/>
      <c r="E23" s="66"/>
    </row>
    <row r="24" spans="1:33">
      <c r="B24" s="65"/>
      <c r="C24" s="66"/>
      <c r="D24" s="66"/>
      <c r="E24" s="66"/>
    </row>
    <row r="25" spans="1:33">
      <c r="B25" s="65"/>
      <c r="C25" s="66"/>
      <c r="D25" s="66"/>
      <c r="E25" s="66"/>
    </row>
    <row r="26" spans="1:33">
      <c r="B26" s="65"/>
      <c r="C26" s="66"/>
      <c r="D26" s="66"/>
      <c r="E26" s="66"/>
    </row>
    <row r="27" spans="1:33">
      <c r="B27" s="65"/>
      <c r="C27" s="66"/>
      <c r="D27" s="66"/>
      <c r="E27" s="66"/>
    </row>
    <row r="28" spans="1:33">
      <c r="B28" s="65"/>
      <c r="C28" s="66"/>
      <c r="D28" s="66"/>
      <c r="E28" s="66"/>
    </row>
    <row r="29" spans="1:33">
      <c r="B29" s="65"/>
      <c r="C29" s="66"/>
      <c r="D29" s="66"/>
      <c r="E29" s="66"/>
    </row>
    <row r="30" spans="1:33">
      <c r="B30" s="65"/>
      <c r="C30" s="66"/>
      <c r="D30" s="66"/>
      <c r="E30" s="66"/>
    </row>
    <row r="31" spans="1:33">
      <c r="B31" s="65"/>
      <c r="C31" s="66"/>
      <c r="D31" s="66"/>
      <c r="E31" s="66"/>
    </row>
    <row r="32" spans="1:33">
      <c r="B32" s="65"/>
      <c r="C32" s="66"/>
      <c r="D32" s="66"/>
      <c r="E32" s="66"/>
    </row>
    <row r="33" spans="2:5">
      <c r="B33" s="65"/>
      <c r="C33" s="66"/>
      <c r="D33" s="66"/>
      <c r="E33" s="66"/>
    </row>
    <row r="34" spans="2:5">
      <c r="B34" s="65"/>
      <c r="C34" s="66"/>
      <c r="D34" s="66"/>
      <c r="E34" s="66"/>
    </row>
    <row r="35" spans="2:5">
      <c r="B35" s="65"/>
      <c r="C35" s="66"/>
      <c r="D35" s="66"/>
      <c r="E35" s="66"/>
    </row>
    <row r="36" spans="2:5">
      <c r="B36" s="65"/>
      <c r="C36" s="66"/>
      <c r="D36" s="66"/>
      <c r="E36" s="66"/>
    </row>
    <row r="37" spans="2:5">
      <c r="B37" s="65"/>
      <c r="C37" s="66"/>
      <c r="D37" s="66"/>
      <c r="E37" s="66"/>
    </row>
    <row r="38" spans="2:5">
      <c r="B38" s="65"/>
      <c r="C38" s="66"/>
      <c r="D38" s="66"/>
      <c r="E38" s="66"/>
    </row>
    <row r="39" spans="2:5">
      <c r="B39" s="65"/>
      <c r="C39" s="66"/>
      <c r="D39" s="66"/>
      <c r="E39" s="66"/>
    </row>
    <row r="40" spans="2:5">
      <c r="B40" s="65"/>
      <c r="C40" s="66"/>
      <c r="D40" s="66"/>
      <c r="E40" s="66"/>
    </row>
    <row r="41" spans="2:5">
      <c r="B41" s="65"/>
      <c r="C41" s="66"/>
      <c r="D41" s="66"/>
      <c r="E41" s="66"/>
    </row>
    <row r="42" spans="2:5">
      <c r="B42" s="65"/>
      <c r="C42" s="66"/>
      <c r="D42" s="66"/>
      <c r="E42" s="66"/>
    </row>
    <row r="43" spans="2:5">
      <c r="B43" s="65"/>
      <c r="C43" s="66"/>
      <c r="D43" s="66"/>
      <c r="E43" s="66"/>
    </row>
    <row r="44" spans="2:5">
      <c r="B44" s="65"/>
      <c r="C44" s="66"/>
      <c r="D44" s="66"/>
      <c r="E44" s="66"/>
    </row>
    <row r="45" spans="2:5">
      <c r="B45" s="65"/>
      <c r="C45" s="66"/>
      <c r="D45" s="66"/>
      <c r="E45" s="66"/>
    </row>
    <row r="46" spans="2:5">
      <c r="B46" s="2"/>
      <c r="C46" s="66"/>
      <c r="D46" s="66"/>
      <c r="E46" s="66"/>
    </row>
    <row r="47" spans="2:5">
      <c r="B47" s="67"/>
      <c r="C47" s="66"/>
      <c r="D47" s="66"/>
      <c r="E47" s="66"/>
    </row>
    <row r="48" spans="2:5">
      <c r="B48" s="2"/>
      <c r="C48" s="68"/>
      <c r="D48" s="68"/>
      <c r="E48" s="68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</sheetData>
  <mergeCells count="19">
    <mergeCell ref="H7:U7"/>
    <mergeCell ref="P2:P6"/>
    <mergeCell ref="Q2:Q6"/>
    <mergeCell ref="K2:K6"/>
    <mergeCell ref="L2:L6"/>
    <mergeCell ref="R2:R6"/>
    <mergeCell ref="S2:S6"/>
    <mergeCell ref="T2:T6"/>
    <mergeCell ref="U2:U6"/>
    <mergeCell ref="R1:U1"/>
    <mergeCell ref="M2:M6"/>
    <mergeCell ref="N2:N6"/>
    <mergeCell ref="O2:O6"/>
    <mergeCell ref="C6:E6"/>
    <mergeCell ref="H2:H6"/>
    <mergeCell ref="I2:I6"/>
    <mergeCell ref="J2:J6"/>
    <mergeCell ref="H1:N1"/>
    <mergeCell ref="O1:Q1"/>
  </mergeCells>
  <phoneticPr fontId="7" type="noConversion"/>
  <conditionalFormatting sqref="A2">
    <cfRule type="expression" dxfId="1" priority="1" stopIfTrue="1">
      <formula>$F$18&lt;&gt;$V$18</formula>
    </cfRule>
    <cfRule type="expression" dxfId="0" priority="2">
      <formula>$F$18=$V$18</formula>
    </cfRule>
  </conditionalFormatting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"/>
  <sheetViews>
    <sheetView zoomScaleNormal="85" workbookViewId="0">
      <selection activeCell="F2" sqref="F2"/>
    </sheetView>
  </sheetViews>
  <sheetFormatPr baseColWidth="10" defaultRowHeight="12.75"/>
  <cols>
    <col min="1" max="1" width="42.7109375" bestFit="1" customWidth="1"/>
    <col min="2" max="2" width="14" style="88" customWidth="1"/>
    <col min="3" max="6" width="20.42578125" customWidth="1"/>
  </cols>
  <sheetData>
    <row r="1" spans="1:6" ht="16.5" thickBot="1">
      <c r="A1" s="218" t="s">
        <v>15</v>
      </c>
      <c r="B1" s="219" t="s">
        <v>12</v>
      </c>
      <c r="C1" s="220" t="s">
        <v>105</v>
      </c>
      <c r="D1" s="220" t="s">
        <v>106</v>
      </c>
      <c r="E1" s="220" t="s">
        <v>171</v>
      </c>
      <c r="F1" s="220" t="s">
        <v>172</v>
      </c>
    </row>
    <row r="2" spans="1:6" ht="13.5" thickBot="1">
      <c r="A2" s="238" t="s">
        <v>117</v>
      </c>
      <c r="B2" s="98">
        <f>SUM(C2:F2)</f>
        <v>253024.84184395405</v>
      </c>
      <c r="C2" s="239">
        <f>+'saldos 31.01.2015 y reparto ABC'!T120</f>
        <v>56872.013393107212</v>
      </c>
      <c r="D2" s="239">
        <f>+'saldos 31.01.2015 y reparto ABC'!T121</f>
        <v>156164.82806277135</v>
      </c>
      <c r="E2" s="22">
        <f>+'saldos 31.01.2015 y reparto ABC'!T122</f>
        <v>10189.159181542165</v>
      </c>
      <c r="F2" s="113">
        <f>+'saldos 31.01.2015 y reparto ABC'!T123</f>
        <v>29798.841206533314</v>
      </c>
    </row>
    <row r="3" spans="1:6" ht="13.5" thickBot="1">
      <c r="A3" s="240" t="s">
        <v>13</v>
      </c>
      <c r="B3" s="98">
        <f>SUM(B2:B2)</f>
        <v>253024.84184395405</v>
      </c>
      <c r="C3" s="22">
        <f>SUM(C2:C2)</f>
        <v>56872.013393107212</v>
      </c>
      <c r="D3" s="22">
        <f>SUM(D2:D2)</f>
        <v>156164.82806277135</v>
      </c>
      <c r="E3" s="22">
        <f>SUM(E2:E2)</f>
        <v>10189.159181542165</v>
      </c>
      <c r="F3" s="22">
        <f>SUM(F2:F2)</f>
        <v>29798.841206533314</v>
      </c>
    </row>
    <row r="4" spans="1:6" ht="13.5" thickBot="1">
      <c r="A4" s="244" t="s">
        <v>77</v>
      </c>
      <c r="B4" s="22">
        <f>SUM(C4:F4)</f>
        <v>0</v>
      </c>
      <c r="C4" s="239">
        <v>0</v>
      </c>
      <c r="D4" s="22">
        <v>0</v>
      </c>
      <c r="E4" s="22">
        <v>0</v>
      </c>
      <c r="F4" s="22">
        <v>0</v>
      </c>
    </row>
    <row r="5" spans="1:6" ht="13.5" thickBot="1">
      <c r="A5" s="241" t="s">
        <v>14</v>
      </c>
      <c r="B5" s="242">
        <f>SUM(C5:F5)</f>
        <v>253024.84184395405</v>
      </c>
      <c r="C5" s="243">
        <f>+C3+C4</f>
        <v>56872.013393107212</v>
      </c>
      <c r="D5" s="243">
        <f>+D3+D4</f>
        <v>156164.82806277135</v>
      </c>
      <c r="E5" s="243">
        <f>+E3+E4</f>
        <v>10189.159181542165</v>
      </c>
      <c r="F5" s="243">
        <f>+F3+F4</f>
        <v>29798.841206533314</v>
      </c>
    </row>
    <row r="6" spans="1:6">
      <c r="A6" s="77" t="s">
        <v>78</v>
      </c>
      <c r="B6" s="78">
        <f>SUM(C6:F6)</f>
        <v>456434</v>
      </c>
      <c r="C6" s="79">
        <f>+'MP, envases y producción'!C5</f>
        <v>100000</v>
      </c>
      <c r="D6" s="79">
        <f>+'MP, envases y producción'!C6</f>
        <v>313500</v>
      </c>
      <c r="E6" s="79">
        <f>+'MP, envases y producción'!G5</f>
        <v>10000</v>
      </c>
      <c r="F6" s="79">
        <f>+'MP, envases y producción'!G6</f>
        <v>32934</v>
      </c>
    </row>
    <row r="7" spans="1:6" ht="13.5" thickBot="1">
      <c r="A7" s="81" t="s">
        <v>118</v>
      </c>
      <c r="B7" s="69">
        <f>SUM(C7:F7)</f>
        <v>1159800</v>
      </c>
      <c r="C7" s="82">
        <f>+'MP, envases y producción'!B5</f>
        <v>100000</v>
      </c>
      <c r="D7" s="245">
        <f>+'MP, envases y producción'!B6</f>
        <v>950000</v>
      </c>
      <c r="E7" s="83">
        <f>+'MP, envases y producción'!F5</f>
        <v>10000</v>
      </c>
      <c r="F7" s="245">
        <f>+'MP, envases y producción'!F6</f>
        <v>99800</v>
      </c>
    </row>
    <row r="8" spans="1:6">
      <c r="A8" s="77" t="s">
        <v>79</v>
      </c>
      <c r="B8" s="78"/>
      <c r="C8" s="85">
        <f t="shared" ref="C8:F9" si="0">+C$5/C6</f>
        <v>0.56872013393107212</v>
      </c>
      <c r="D8" s="85">
        <f t="shared" si="0"/>
        <v>0.49813342284775552</v>
      </c>
      <c r="E8" s="85">
        <f t="shared" si="0"/>
        <v>1.0189159181542164</v>
      </c>
      <c r="F8" s="85">
        <f t="shared" si="0"/>
        <v>0.90480479767211131</v>
      </c>
    </row>
    <row r="9" spans="1:6">
      <c r="A9" s="86" t="s">
        <v>119</v>
      </c>
      <c r="B9" s="87"/>
      <c r="C9" s="246">
        <f t="shared" si="0"/>
        <v>0.56872013393107212</v>
      </c>
      <c r="D9" s="247">
        <f t="shared" si="0"/>
        <v>0.16438402953975931</v>
      </c>
      <c r="E9" s="246">
        <f t="shared" si="0"/>
        <v>1.0189159181542164</v>
      </c>
      <c r="F9" s="247">
        <f t="shared" si="0"/>
        <v>0.29858558323179674</v>
      </c>
    </row>
  </sheetData>
  <phoneticPr fontId="7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"/>
  <sheetViews>
    <sheetView zoomScale="105" workbookViewId="0">
      <selection activeCell="F24" sqref="F24"/>
    </sheetView>
  </sheetViews>
  <sheetFormatPr baseColWidth="10" defaultRowHeight="12.75"/>
  <cols>
    <col min="1" max="2" width="10.7109375" customWidth="1"/>
    <col min="3" max="3" width="15.7109375" bestFit="1" customWidth="1"/>
    <col min="4" max="4" width="12.42578125" bestFit="1" customWidth="1"/>
    <col min="5" max="5" width="9.140625" bestFit="1" customWidth="1"/>
    <col min="6" max="6" width="16.42578125" customWidth="1"/>
    <col min="7" max="7" width="12.42578125" bestFit="1" customWidth="1"/>
    <col min="8" max="8" width="9.140625" bestFit="1" customWidth="1"/>
    <col min="9" max="9" width="15.85546875" customWidth="1"/>
    <col min="10" max="10" width="12" bestFit="1" customWidth="1"/>
    <col min="11" max="11" width="9.140625" bestFit="1" customWidth="1"/>
    <col min="12" max="12" width="17.5703125" customWidth="1"/>
    <col min="13" max="13" width="11.5703125" bestFit="1" customWidth="1"/>
  </cols>
  <sheetData>
    <row r="1" spans="1:256" ht="15.75">
      <c r="A1" s="24" t="s">
        <v>80</v>
      </c>
    </row>
    <row r="2" spans="1:256" ht="15.75">
      <c r="A2" s="60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</row>
    <row r="3" spans="1:256" ht="15.75">
      <c r="A3" s="24" t="s">
        <v>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pans="1:256">
      <c r="A4" s="90"/>
      <c r="B4" s="346" t="str">
        <f>'coste produc-ABC'!C1</f>
        <v>Normal 1 l.</v>
      </c>
      <c r="C4" s="347"/>
      <c r="D4" s="348"/>
      <c r="E4" s="346" t="str">
        <f>'coste produc-ABC'!D1</f>
        <v>Normal 33 cl.</v>
      </c>
      <c r="F4" s="347"/>
      <c r="G4" s="348"/>
      <c r="H4" s="346" t="str">
        <f>'coste produc-ABC'!E1</f>
        <v>Sin alcohol 1 l.</v>
      </c>
      <c r="I4" s="347"/>
      <c r="J4" s="348"/>
      <c r="K4" s="346" t="str">
        <f>'coste produc-ABC'!F1</f>
        <v>Sin alcohol 33 cl.</v>
      </c>
      <c r="L4" s="347"/>
      <c r="M4" s="348"/>
    </row>
    <row r="5" spans="1:256">
      <c r="A5" s="80"/>
      <c r="B5" s="55" t="s">
        <v>81</v>
      </c>
      <c r="C5" s="25" t="s">
        <v>82</v>
      </c>
      <c r="D5" s="91" t="s">
        <v>47</v>
      </c>
      <c r="E5" s="55" t="s">
        <v>81</v>
      </c>
      <c r="F5" s="25" t="s">
        <v>82</v>
      </c>
      <c r="G5" s="91" t="s">
        <v>47</v>
      </c>
      <c r="H5" s="55" t="s">
        <v>81</v>
      </c>
      <c r="I5" s="25" t="s">
        <v>82</v>
      </c>
      <c r="J5" s="91" t="s">
        <v>47</v>
      </c>
      <c r="K5" s="55" t="s">
        <v>81</v>
      </c>
      <c r="L5" s="25" t="s">
        <v>82</v>
      </c>
      <c r="M5" s="91" t="s">
        <v>47</v>
      </c>
    </row>
    <row r="6" spans="1:256">
      <c r="A6" s="92" t="s">
        <v>83</v>
      </c>
      <c r="B6" s="93">
        <v>24360</v>
      </c>
      <c r="C6" s="94">
        <v>0.57099999999999995</v>
      </c>
      <c r="D6" s="95">
        <f>+B6*C6</f>
        <v>13909.56</v>
      </c>
      <c r="E6" s="93">
        <v>18720</v>
      </c>
      <c r="F6" s="94">
        <v>0.159</v>
      </c>
      <c r="G6" s="95">
        <f>+E6*F6</f>
        <v>2976.48</v>
      </c>
      <c r="H6" s="93">
        <v>2340</v>
      </c>
      <c r="I6" s="94">
        <v>1.0217000000000001</v>
      </c>
      <c r="J6" s="95">
        <f>+H6*I6</f>
        <v>2390.7780000000002</v>
      </c>
      <c r="K6" s="93">
        <v>5280</v>
      </c>
      <c r="L6" s="94">
        <v>0.30099999999999999</v>
      </c>
      <c r="M6" s="95">
        <f>+K6*L6</f>
        <v>1589.28</v>
      </c>
    </row>
    <row r="7" spans="1:256">
      <c r="A7" s="92" t="s">
        <v>45</v>
      </c>
      <c r="B7" s="93">
        <f>+'MP, envases y producción'!B5</f>
        <v>100000</v>
      </c>
      <c r="C7" s="96">
        <f>+'coste produc-ABC'!$C$9</f>
        <v>0.56872013393107212</v>
      </c>
      <c r="D7" s="95">
        <f>+B7*C7</f>
        <v>56872.013393107212</v>
      </c>
      <c r="E7" s="93">
        <f>+'MP, envases y producción'!B6</f>
        <v>950000</v>
      </c>
      <c r="F7" s="96">
        <f>+'coste produc-ABC'!$D$9</f>
        <v>0.16438402953975931</v>
      </c>
      <c r="G7" s="95">
        <f>+E7*F7</f>
        <v>156164.82806277135</v>
      </c>
      <c r="H7" s="93">
        <f>+'MP, envases y producción'!F5</f>
        <v>10000</v>
      </c>
      <c r="I7" s="96">
        <f>+'coste produc-ABC'!$E$9</f>
        <v>1.0189159181542164</v>
      </c>
      <c r="J7" s="95">
        <f>+H7*I7</f>
        <v>10189.159181542165</v>
      </c>
      <c r="K7" s="93">
        <f>+'MP, envases y producción'!F6</f>
        <v>99800</v>
      </c>
      <c r="L7" s="96">
        <f>+'coste produc-ABC'!$F$9</f>
        <v>0.29858558323179674</v>
      </c>
      <c r="M7" s="95">
        <f>+K7*L7</f>
        <v>29798.841206533314</v>
      </c>
    </row>
    <row r="8" spans="1:256">
      <c r="A8" s="92" t="s">
        <v>84</v>
      </c>
      <c r="B8" s="93">
        <f>+'rdo por cliente'!C2</f>
        <v>110910</v>
      </c>
      <c r="C8" s="94">
        <f>+(D6+D7)/(B6+B7)</f>
        <v>0.56916672075512398</v>
      </c>
      <c r="D8" s="95">
        <f>+B8*C8</f>
        <v>63126.280998950802</v>
      </c>
      <c r="E8" s="93">
        <f>+'rdo por cliente'!C3</f>
        <v>952400</v>
      </c>
      <c r="F8" s="94">
        <f>+(G6+G7)/(E6+E7)</f>
        <v>0.16427998602565383</v>
      </c>
      <c r="G8" s="95">
        <f>+E8*F8</f>
        <v>156460.25869083271</v>
      </c>
      <c r="H8" s="93">
        <f>+'rdo por cliente'!C4</f>
        <v>10445</v>
      </c>
      <c r="I8" s="94">
        <f>+(J6+J7)/(H6+H7)</f>
        <v>1.0194438558786196</v>
      </c>
      <c r="J8" s="95">
        <f>+H8*I8</f>
        <v>10648.091074652182</v>
      </c>
      <c r="K8" s="93">
        <f>+'rdo por cliente'!C5</f>
        <v>95598</v>
      </c>
      <c r="L8" s="94">
        <f>+(M6+M7)/(K6+K7)</f>
        <v>0.29870690147062534</v>
      </c>
      <c r="M8" s="95">
        <f>+K8*L8</f>
        <v>28555.782366788841</v>
      </c>
    </row>
    <row r="9" spans="1:256">
      <c r="A9" s="92" t="s">
        <v>85</v>
      </c>
      <c r="B9" s="93">
        <f>+B6+B7-B8</f>
        <v>13450</v>
      </c>
      <c r="C9" s="94">
        <f>C8</f>
        <v>0.56916672075512398</v>
      </c>
      <c r="D9" s="95">
        <f>+B9*C9</f>
        <v>7655.2923941564177</v>
      </c>
      <c r="E9" s="93">
        <f>+E6+E7-E8</f>
        <v>16320</v>
      </c>
      <c r="F9" s="94">
        <f>F8</f>
        <v>0.16427998602565383</v>
      </c>
      <c r="G9" s="95">
        <f>+E9*F9</f>
        <v>2681.0493719386704</v>
      </c>
      <c r="H9" s="93">
        <f>+H6+H7-H8</f>
        <v>1895</v>
      </c>
      <c r="I9" s="94">
        <f>I8</f>
        <v>1.0194438558786196</v>
      </c>
      <c r="J9" s="95">
        <f>+H9*I9</f>
        <v>1931.8461068899842</v>
      </c>
      <c r="K9" s="93">
        <f>+K6+K7-K8</f>
        <v>9482</v>
      </c>
      <c r="L9" s="94">
        <f>L8</f>
        <v>0.29870690147062534</v>
      </c>
      <c r="M9" s="95">
        <f>+K9*L9</f>
        <v>2832.3388397444696</v>
      </c>
    </row>
    <row r="10" spans="1:256">
      <c r="A10" s="92" t="s">
        <v>86</v>
      </c>
      <c r="B10" s="21"/>
      <c r="C10" s="21"/>
      <c r="D10" s="97">
        <f>+D6-D9</f>
        <v>6254.2676058435818</v>
      </c>
      <c r="E10" s="21"/>
      <c r="F10" s="21"/>
      <c r="G10" s="97">
        <f>+G6-G9</f>
        <v>295.43062806132957</v>
      </c>
      <c r="H10" s="21"/>
      <c r="I10" s="21"/>
      <c r="J10" s="97">
        <f>+J6-J9</f>
        <v>458.93189311001606</v>
      </c>
      <c r="K10" s="21"/>
      <c r="L10" s="21"/>
      <c r="M10" s="97">
        <f>+M6-M9</f>
        <v>-1243.0588397444697</v>
      </c>
    </row>
    <row r="12" spans="1:256">
      <c r="D12" t="str">
        <f>IF(D6+D7=D8+D9,"OK","ERROR")</f>
        <v>OK</v>
      </c>
      <c r="G12" t="str">
        <f>IF(G6+G7=G8+G9,"OK","ERROR")</f>
        <v>OK</v>
      </c>
      <c r="J12" t="str">
        <f>IF(J6+J7=J8+J9,"OK","ERROR")</f>
        <v>OK</v>
      </c>
      <c r="M12" t="str">
        <f>IF(M6+M7=M8+M9,"OK","ERROR")</f>
        <v>OK</v>
      </c>
    </row>
  </sheetData>
  <mergeCells count="4">
    <mergeCell ref="B4:D4"/>
    <mergeCell ref="E4:G4"/>
    <mergeCell ref="H4:J4"/>
    <mergeCell ref="K4:M4"/>
  </mergeCells>
  <phoneticPr fontId="7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85" workbookViewId="0">
      <selection activeCell="D52" sqref="D52"/>
    </sheetView>
  </sheetViews>
  <sheetFormatPr baseColWidth="10" defaultRowHeight="12.75"/>
  <cols>
    <col min="1" max="1" width="13.5703125" customWidth="1"/>
    <col min="2" max="2" width="23.85546875" customWidth="1"/>
    <col min="3" max="3" width="12.7109375" style="88" customWidth="1"/>
    <col min="4" max="7" width="13.140625" customWidth="1"/>
    <col min="8" max="8" width="13.140625" style="89" customWidth="1"/>
    <col min="9" max="12" width="13.140625" customWidth="1"/>
    <col min="13" max="20" width="4.85546875" customWidth="1"/>
    <col min="21" max="21" width="5.85546875" customWidth="1"/>
  </cols>
  <sheetData>
    <row r="1" spans="1:14" ht="53.25" customHeight="1">
      <c r="A1" s="349" t="str">
        <f>'coste produc-ABC'!A1</f>
        <v>ENERO 2015</v>
      </c>
      <c r="B1" s="350"/>
      <c r="C1" s="69" t="s">
        <v>12</v>
      </c>
      <c r="D1" s="101" t="s">
        <v>87</v>
      </c>
      <c r="E1" s="101" t="s">
        <v>88</v>
      </c>
      <c r="F1" s="101" t="s">
        <v>89</v>
      </c>
      <c r="G1" s="101" t="s">
        <v>90</v>
      </c>
      <c r="H1" s="101" t="s">
        <v>91</v>
      </c>
      <c r="I1" s="101" t="s">
        <v>92</v>
      </c>
      <c r="J1" s="217" t="s">
        <v>112</v>
      </c>
      <c r="K1" s="217" t="s">
        <v>113</v>
      </c>
      <c r="L1" s="101" t="s">
        <v>114</v>
      </c>
    </row>
    <row r="2" spans="1:14">
      <c r="A2" s="351" t="s">
        <v>93</v>
      </c>
      <c r="B2" s="102" t="str">
        <f>'coste produc-ABC'!C1</f>
        <v>Normal 1 l.</v>
      </c>
      <c r="C2" s="69">
        <f>SUM(D2:L2)</f>
        <v>110910</v>
      </c>
      <c r="D2" s="73">
        <v>28730</v>
      </c>
      <c r="E2" s="73">
        <v>9320</v>
      </c>
      <c r="F2" s="73">
        <v>18740</v>
      </c>
      <c r="G2" s="73">
        <v>5470</v>
      </c>
      <c r="H2" s="73">
        <v>14925</v>
      </c>
      <c r="I2" s="73">
        <v>2840</v>
      </c>
      <c r="J2" s="73">
        <v>16805</v>
      </c>
      <c r="K2" s="73">
        <v>7650</v>
      </c>
      <c r="L2" s="73">
        <v>6430</v>
      </c>
    </row>
    <row r="3" spans="1:14">
      <c r="A3" s="351"/>
      <c r="B3" s="102" t="str">
        <f>+'coste produc-ABC'!D1</f>
        <v>Normal 33 cl.</v>
      </c>
      <c r="C3" s="69">
        <f>SUM(D3:L3)</f>
        <v>952400</v>
      </c>
      <c r="D3" s="72">
        <v>246800</v>
      </c>
      <c r="E3" s="72">
        <v>87650</v>
      </c>
      <c r="F3" s="72">
        <v>157600</v>
      </c>
      <c r="G3" s="72">
        <v>41300</v>
      </c>
      <c r="H3" s="73">
        <v>180210</v>
      </c>
      <c r="I3" s="72">
        <v>19500</v>
      </c>
      <c r="J3" s="72">
        <v>113540</v>
      </c>
      <c r="K3" s="72">
        <v>58200</v>
      </c>
      <c r="L3" s="72">
        <v>47600</v>
      </c>
    </row>
    <row r="4" spans="1:14">
      <c r="A4" s="351"/>
      <c r="B4" s="102" t="str">
        <f>+'coste produc-ABC'!E1</f>
        <v>Sin alcohol 1 l.</v>
      </c>
      <c r="C4" s="69">
        <f>SUM(D4:L4)</f>
        <v>10445</v>
      </c>
      <c r="D4" s="72">
        <v>2340</v>
      </c>
      <c r="E4" s="72">
        <v>1300</v>
      </c>
      <c r="F4" s="72">
        <v>1600</v>
      </c>
      <c r="G4" s="72">
        <v>940</v>
      </c>
      <c r="H4" s="72">
        <v>1760</v>
      </c>
      <c r="I4" s="72">
        <v>470</v>
      </c>
      <c r="J4" s="72">
        <v>930</v>
      </c>
      <c r="K4" s="72">
        <v>670</v>
      </c>
      <c r="L4" s="72">
        <v>435</v>
      </c>
      <c r="N4" s="1"/>
    </row>
    <row r="5" spans="1:14" ht="13.5" thickBot="1">
      <c r="A5" s="351"/>
      <c r="B5" s="106" t="str">
        <f>+'coste produc-ABC'!F1</f>
        <v>Sin alcohol 33 cl.</v>
      </c>
      <c r="C5" s="84">
        <f>SUM(D5:L5)</f>
        <v>95598</v>
      </c>
      <c r="D5" s="103">
        <v>20890</v>
      </c>
      <c r="E5" s="103">
        <v>2400</v>
      </c>
      <c r="F5" s="103">
        <v>4760</v>
      </c>
      <c r="G5" s="103">
        <v>6576</v>
      </c>
      <c r="H5" s="103">
        <v>21300</v>
      </c>
      <c r="I5" s="103">
        <v>6870</v>
      </c>
      <c r="J5" s="103">
        <v>17602</v>
      </c>
      <c r="K5" s="103">
        <v>10350</v>
      </c>
      <c r="L5" s="103">
        <v>4850</v>
      </c>
    </row>
    <row r="6" spans="1:14">
      <c r="A6" s="356" t="s">
        <v>123</v>
      </c>
      <c r="B6" s="104" t="str">
        <f>+B2</f>
        <v>Normal 1 l.</v>
      </c>
      <c r="C6" s="99">
        <f>+C10/C2</f>
        <v>0.77144486520602296</v>
      </c>
      <c r="D6" s="105">
        <v>0.79</v>
      </c>
      <c r="E6" s="105">
        <v>0.78</v>
      </c>
      <c r="F6" s="105">
        <v>0.75</v>
      </c>
      <c r="G6" s="105">
        <v>0.8</v>
      </c>
      <c r="H6" s="105">
        <v>0.78</v>
      </c>
      <c r="I6" s="105">
        <v>0.78</v>
      </c>
      <c r="J6" s="105">
        <v>0.77</v>
      </c>
      <c r="K6" s="105">
        <v>0.75</v>
      </c>
      <c r="L6" s="105">
        <v>0.72</v>
      </c>
    </row>
    <row r="7" spans="1:14">
      <c r="A7" s="357"/>
      <c r="B7" s="102" t="str">
        <f>+B3</f>
        <v>Normal 33 cl.</v>
      </c>
      <c r="C7" s="70">
        <f>+C11/C3</f>
        <v>0.22214321713565727</v>
      </c>
      <c r="D7" s="58">
        <v>0.2</v>
      </c>
      <c r="E7" s="58">
        <v>0.22</v>
      </c>
      <c r="F7" s="58">
        <v>0.24</v>
      </c>
      <c r="G7" s="58">
        <v>0.23</v>
      </c>
      <c r="H7" s="58">
        <v>0.24</v>
      </c>
      <c r="I7" s="58">
        <v>0.24</v>
      </c>
      <c r="J7" s="58">
        <v>0.22</v>
      </c>
      <c r="K7" s="58">
        <v>0.21</v>
      </c>
      <c r="L7" s="58">
        <v>0.22</v>
      </c>
    </row>
    <row r="8" spans="1:14">
      <c r="A8" s="357"/>
      <c r="B8" s="102" t="str">
        <f>+B4</f>
        <v>Sin alcohol 1 l.</v>
      </c>
      <c r="C8" s="70">
        <f>+C12/C4</f>
        <v>0.99108185734801324</v>
      </c>
      <c r="D8" s="58">
        <v>0.95</v>
      </c>
      <c r="E8" s="58">
        <v>0.97</v>
      </c>
      <c r="F8" s="58">
        <v>0.99</v>
      </c>
      <c r="G8" s="58">
        <v>0.94</v>
      </c>
      <c r="H8" s="58">
        <v>1.1399999999999999</v>
      </c>
      <c r="I8" s="58">
        <v>1.04</v>
      </c>
      <c r="J8" s="58">
        <v>0.96</v>
      </c>
      <c r="K8" s="58">
        <v>0.92</v>
      </c>
      <c r="L8" s="58">
        <v>0.91</v>
      </c>
    </row>
    <row r="9" spans="1:14" ht="13.5" thickBot="1">
      <c r="A9" s="358"/>
      <c r="B9" s="106" t="str">
        <f>+B5</f>
        <v>Sin alcohol 33 cl.</v>
      </c>
      <c r="C9" s="107">
        <f>+C13/C5</f>
        <v>0.35911462582899223</v>
      </c>
      <c r="D9" s="108">
        <v>0.35</v>
      </c>
      <c r="E9" s="108">
        <v>0.37</v>
      </c>
      <c r="F9" s="108">
        <v>0.34</v>
      </c>
      <c r="G9" s="108">
        <v>0.37</v>
      </c>
      <c r="H9" s="109">
        <v>0.37</v>
      </c>
      <c r="I9" s="108">
        <v>0.37</v>
      </c>
      <c r="J9" s="108">
        <v>0.36</v>
      </c>
      <c r="K9" s="108">
        <v>0.35</v>
      </c>
      <c r="L9" s="108">
        <v>0.35</v>
      </c>
    </row>
    <row r="10" spans="1:14">
      <c r="A10" s="359" t="s">
        <v>94</v>
      </c>
      <c r="B10" s="104" t="str">
        <f>+B2</f>
        <v>Normal 1 l.</v>
      </c>
      <c r="C10" s="99">
        <f t="shared" ref="C10:C29" si="0">SUM(D10:L10)</f>
        <v>85560.950000000012</v>
      </c>
      <c r="D10" s="19">
        <f t="shared" ref="D10:L10" si="1">+D2*D6</f>
        <v>22696.7</v>
      </c>
      <c r="E10" s="19">
        <f t="shared" si="1"/>
        <v>7269.6</v>
      </c>
      <c r="F10" s="19">
        <f t="shared" si="1"/>
        <v>14055</v>
      </c>
      <c r="G10" s="19">
        <f t="shared" si="1"/>
        <v>4376</v>
      </c>
      <c r="H10" s="75">
        <f t="shared" si="1"/>
        <v>11641.5</v>
      </c>
      <c r="I10" s="19">
        <f t="shared" si="1"/>
        <v>2215.2000000000003</v>
      </c>
      <c r="J10" s="19">
        <f t="shared" si="1"/>
        <v>12939.85</v>
      </c>
      <c r="K10" s="19">
        <f t="shared" si="1"/>
        <v>5737.5</v>
      </c>
      <c r="L10" s="19">
        <f t="shared" si="1"/>
        <v>4629.5999999999995</v>
      </c>
    </row>
    <row r="11" spans="1:14">
      <c r="A11" s="357"/>
      <c r="B11" s="102" t="str">
        <f>+B3</f>
        <v>Normal 33 cl.</v>
      </c>
      <c r="C11" s="70">
        <f t="shared" si="0"/>
        <v>211569.19999999998</v>
      </c>
      <c r="D11" s="17">
        <f t="shared" ref="D11:L11" si="2">+D3*D7</f>
        <v>49360</v>
      </c>
      <c r="E11" s="17">
        <f t="shared" si="2"/>
        <v>19283</v>
      </c>
      <c r="F11" s="17">
        <f t="shared" si="2"/>
        <v>37824</v>
      </c>
      <c r="G11" s="17">
        <f t="shared" si="2"/>
        <v>9499</v>
      </c>
      <c r="H11" s="71">
        <f t="shared" si="2"/>
        <v>43250.400000000001</v>
      </c>
      <c r="I11" s="17">
        <f t="shared" si="2"/>
        <v>4680</v>
      </c>
      <c r="J11" s="17">
        <f t="shared" si="2"/>
        <v>24978.799999999999</v>
      </c>
      <c r="K11" s="17">
        <f t="shared" si="2"/>
        <v>12222</v>
      </c>
      <c r="L11" s="17">
        <f t="shared" si="2"/>
        <v>10472</v>
      </c>
    </row>
    <row r="12" spans="1:14">
      <c r="A12" s="357"/>
      <c r="B12" s="102" t="str">
        <f>+B4</f>
        <v>Sin alcohol 1 l.</v>
      </c>
      <c r="C12" s="70">
        <f t="shared" si="0"/>
        <v>10351.849999999999</v>
      </c>
      <c r="D12" s="17">
        <f t="shared" ref="D12:L12" si="3">+D4*D8</f>
        <v>2223</v>
      </c>
      <c r="E12" s="17">
        <f t="shared" si="3"/>
        <v>1261</v>
      </c>
      <c r="F12" s="17">
        <f t="shared" si="3"/>
        <v>1584</v>
      </c>
      <c r="G12" s="17">
        <f t="shared" si="3"/>
        <v>883.59999999999991</v>
      </c>
      <c r="H12" s="71">
        <f t="shared" si="3"/>
        <v>2006.3999999999999</v>
      </c>
      <c r="I12" s="17">
        <f t="shared" si="3"/>
        <v>488.8</v>
      </c>
      <c r="J12" s="17">
        <f t="shared" si="3"/>
        <v>892.8</v>
      </c>
      <c r="K12" s="17">
        <f t="shared" si="3"/>
        <v>616.4</v>
      </c>
      <c r="L12" s="17">
        <f t="shared" si="3"/>
        <v>395.85</v>
      </c>
    </row>
    <row r="13" spans="1:14" ht="13.5" thickBot="1">
      <c r="A13" s="357"/>
      <c r="B13" s="110" t="str">
        <f>+B5</f>
        <v>Sin alcohol 33 cl.</v>
      </c>
      <c r="C13" s="76">
        <f t="shared" si="0"/>
        <v>34330.639999999999</v>
      </c>
      <c r="D13" s="20">
        <f t="shared" ref="D13:L13" si="4">+D5*D9</f>
        <v>7311.4999999999991</v>
      </c>
      <c r="E13" s="20">
        <f t="shared" si="4"/>
        <v>888</v>
      </c>
      <c r="F13" s="20">
        <f t="shared" si="4"/>
        <v>1618.4</v>
      </c>
      <c r="G13" s="20">
        <f t="shared" si="4"/>
        <v>2433.12</v>
      </c>
      <c r="H13" s="111">
        <f t="shared" si="4"/>
        <v>7881</v>
      </c>
      <c r="I13" s="20">
        <f t="shared" si="4"/>
        <v>2541.9</v>
      </c>
      <c r="J13" s="20">
        <f t="shared" si="4"/>
        <v>6336.7199999999993</v>
      </c>
      <c r="K13" s="20">
        <f t="shared" si="4"/>
        <v>3622.4999999999995</v>
      </c>
      <c r="L13" s="20">
        <f t="shared" si="4"/>
        <v>1697.5</v>
      </c>
    </row>
    <row r="14" spans="1:14" ht="13.5" thickBot="1">
      <c r="A14" s="23"/>
      <c r="B14" s="112" t="s">
        <v>94</v>
      </c>
      <c r="C14" s="98">
        <f t="shared" si="0"/>
        <v>341812.64</v>
      </c>
      <c r="D14" s="22">
        <f>SUM(D10:D13)</f>
        <v>81591.199999999997</v>
      </c>
      <c r="E14" s="22">
        <f t="shared" ref="E14:L14" si="5">SUM(E10:E13)</f>
        <v>28701.599999999999</v>
      </c>
      <c r="F14" s="22">
        <f t="shared" si="5"/>
        <v>55081.4</v>
      </c>
      <c r="G14" s="22">
        <f t="shared" si="5"/>
        <v>17191.72</v>
      </c>
      <c r="H14" s="22">
        <f t="shared" si="5"/>
        <v>64779.3</v>
      </c>
      <c r="I14" s="22">
        <f t="shared" si="5"/>
        <v>9925.9000000000015</v>
      </c>
      <c r="J14" s="22">
        <f t="shared" si="5"/>
        <v>45148.170000000006</v>
      </c>
      <c r="K14" s="22">
        <f t="shared" si="5"/>
        <v>22198.400000000001</v>
      </c>
      <c r="L14" s="22">
        <f t="shared" si="5"/>
        <v>17194.949999999997</v>
      </c>
    </row>
    <row r="15" spans="1:14">
      <c r="A15" s="360" t="s">
        <v>84</v>
      </c>
      <c r="B15" s="114" t="str">
        <f>+B10</f>
        <v>Normal 1 l.</v>
      </c>
      <c r="C15" s="115">
        <f t="shared" si="0"/>
        <v>63126.280998950802</v>
      </c>
      <c r="D15" s="116">
        <f>+D2*'prod term'!$C$8</f>
        <v>16352.159887294712</v>
      </c>
      <c r="E15" s="116">
        <f>+E2*'prod term'!$C$8</f>
        <v>5304.6338374377556</v>
      </c>
      <c r="F15" s="116">
        <f>+F2*'prod term'!$C$8</f>
        <v>10666.184346951024</v>
      </c>
      <c r="G15" s="116">
        <f>+G2*'prod term'!$C$8</f>
        <v>3113.3419625305282</v>
      </c>
      <c r="H15" s="117">
        <f>+H2*'prod term'!$C$8</f>
        <v>8494.8133072702258</v>
      </c>
      <c r="I15" s="116">
        <f>+I2*'prod term'!$C$8</f>
        <v>1616.433486944552</v>
      </c>
      <c r="J15" s="116">
        <f>+J2*'prod term'!$C$8</f>
        <v>9564.8467422898593</v>
      </c>
      <c r="K15" s="116">
        <f>+K2*'prod term'!$C$8</f>
        <v>4354.1254137766982</v>
      </c>
      <c r="L15" s="116">
        <f>+L2*'prod term'!$C$8</f>
        <v>3659.7420144554471</v>
      </c>
    </row>
    <row r="16" spans="1:14">
      <c r="A16" s="360"/>
      <c r="B16" s="102" t="str">
        <f>+B11</f>
        <v>Normal 33 cl.</v>
      </c>
      <c r="C16" s="70">
        <f t="shared" si="0"/>
        <v>156460.25869083271</v>
      </c>
      <c r="D16" s="17">
        <f>+D3*'prod term'!$F$8</f>
        <v>40544.300551131368</v>
      </c>
      <c r="E16" s="17">
        <f>+E3*'prod term'!$F$8</f>
        <v>14399.140775148559</v>
      </c>
      <c r="F16" s="17">
        <f>+F3*'prod term'!$F$8</f>
        <v>25890.525797643044</v>
      </c>
      <c r="G16" s="17">
        <f>+G3*'prod term'!$F$8</f>
        <v>6784.7634228595034</v>
      </c>
      <c r="H16" s="71">
        <f>+H3*'prod term'!$F$8</f>
        <v>29604.896281683075</v>
      </c>
      <c r="I16" s="17">
        <f>+I3*'prod term'!$F$8</f>
        <v>3203.4597275002498</v>
      </c>
      <c r="J16" s="17">
        <f>+J3*'prod term'!$F$8</f>
        <v>18652.349613352737</v>
      </c>
      <c r="K16" s="17">
        <f>+K3*'prod term'!$F$8</f>
        <v>9561.0951866930536</v>
      </c>
      <c r="L16" s="17">
        <f>+L3*'prod term'!$F$8</f>
        <v>7819.727334821122</v>
      </c>
    </row>
    <row r="17" spans="1:12">
      <c r="A17" s="360"/>
      <c r="B17" s="102" t="str">
        <f>+B12</f>
        <v>Sin alcohol 1 l.</v>
      </c>
      <c r="C17" s="70">
        <f t="shared" si="0"/>
        <v>10648.091074652182</v>
      </c>
      <c r="D17" s="17">
        <f>+D4*'prod term'!$I$8</f>
        <v>2385.4986227559698</v>
      </c>
      <c r="E17" s="17">
        <f>+E4*'prod term'!$I$8</f>
        <v>1325.2770126422056</v>
      </c>
      <c r="F17" s="17">
        <f>+F4*'prod term'!$I$8</f>
        <v>1631.1101694057913</v>
      </c>
      <c r="G17" s="17">
        <f>+G4*'prod term'!$I$8</f>
        <v>958.2772245259024</v>
      </c>
      <c r="H17" s="71">
        <f>+H4*'prod term'!$I$8</f>
        <v>1794.2211863463706</v>
      </c>
      <c r="I17" s="17">
        <f>+I4*'prod term'!$I$8</f>
        <v>479.1386122629512</v>
      </c>
      <c r="J17" s="17">
        <f>+J4*'prod term'!$I$8</f>
        <v>948.08278596711625</v>
      </c>
      <c r="K17" s="17">
        <f>+K4*'prod term'!$I$8</f>
        <v>683.0273834386752</v>
      </c>
      <c r="L17" s="17">
        <f>+L4*'prod term'!$I$8</f>
        <v>443.45807730719952</v>
      </c>
    </row>
    <row r="18" spans="1:12" ht="13.5" thickBot="1">
      <c r="A18" s="361"/>
      <c r="B18" s="106" t="str">
        <f>+B13</f>
        <v>Sin alcohol 33 cl.</v>
      </c>
      <c r="C18" s="107">
        <f t="shared" si="0"/>
        <v>28555.782366788844</v>
      </c>
      <c r="D18" s="118">
        <f>+D5*'prod term'!$L$8</f>
        <v>6239.9871717213637</v>
      </c>
      <c r="E18" s="118">
        <f>+E5*'prod term'!$L$8</f>
        <v>716.89656352950078</v>
      </c>
      <c r="F18" s="118">
        <f>+F5*'prod term'!$L$8</f>
        <v>1421.8448510001767</v>
      </c>
      <c r="G18" s="118">
        <f>+G5*'prod term'!$L$8</f>
        <v>1964.2965840708323</v>
      </c>
      <c r="H18" s="119">
        <f>+H5*'prod term'!$L$8</f>
        <v>6362.4570013243201</v>
      </c>
      <c r="I18" s="118">
        <f>+I5*'prod term'!$L$8</f>
        <v>2052.116413103196</v>
      </c>
      <c r="J18" s="118">
        <f>+J5*'prod term'!$L$8</f>
        <v>5257.8388796859472</v>
      </c>
      <c r="K18" s="118">
        <f>+K5*'prod term'!$L$8</f>
        <v>3091.6164302209722</v>
      </c>
      <c r="L18" s="118">
        <f>+L5*'prod term'!$L$8</f>
        <v>1448.7284721325329</v>
      </c>
    </row>
    <row r="19" spans="1:12" ht="12.75" customHeight="1">
      <c r="A19" s="352" t="s">
        <v>95</v>
      </c>
      <c r="B19" s="104" t="str">
        <f>+B15</f>
        <v>Normal 1 l.</v>
      </c>
      <c r="C19" s="99">
        <f t="shared" si="0"/>
        <v>22434.669001049198</v>
      </c>
      <c r="D19" s="19">
        <f t="shared" ref="D19:L22" si="6">+D10-D15</f>
        <v>6344.5401127052883</v>
      </c>
      <c r="E19" s="19">
        <f t="shared" si="6"/>
        <v>1964.9661625622448</v>
      </c>
      <c r="F19" s="19">
        <f t="shared" si="6"/>
        <v>3388.8156530489759</v>
      </c>
      <c r="G19" s="19">
        <f t="shared" si="6"/>
        <v>1262.6580374694718</v>
      </c>
      <c r="H19" s="19">
        <f t="shared" si="6"/>
        <v>3146.6866927297742</v>
      </c>
      <c r="I19" s="19">
        <f t="shared" si="6"/>
        <v>598.76651305544829</v>
      </c>
      <c r="J19" s="19">
        <f t="shared" si="6"/>
        <v>3375.003257710141</v>
      </c>
      <c r="K19" s="19">
        <f t="shared" si="6"/>
        <v>1383.3745862233018</v>
      </c>
      <c r="L19" s="19">
        <f t="shared" si="6"/>
        <v>969.85798554455232</v>
      </c>
    </row>
    <row r="20" spans="1:12">
      <c r="A20" s="352"/>
      <c r="B20" s="102" t="str">
        <f>+B16</f>
        <v>Normal 33 cl.</v>
      </c>
      <c r="C20" s="70">
        <f t="shared" si="0"/>
        <v>55108.941309167283</v>
      </c>
      <c r="D20" s="17">
        <f t="shared" si="6"/>
        <v>8815.6994488686323</v>
      </c>
      <c r="E20" s="17">
        <f t="shared" si="6"/>
        <v>4883.8592248514415</v>
      </c>
      <c r="F20" s="17">
        <f t="shared" si="6"/>
        <v>11933.474202356956</v>
      </c>
      <c r="G20" s="17">
        <f t="shared" si="6"/>
        <v>2714.2365771404966</v>
      </c>
      <c r="H20" s="17">
        <f t="shared" si="6"/>
        <v>13645.503718316926</v>
      </c>
      <c r="I20" s="17">
        <f t="shared" si="6"/>
        <v>1476.5402724997502</v>
      </c>
      <c r="J20" s="17">
        <f t="shared" si="6"/>
        <v>6326.4503866472623</v>
      </c>
      <c r="K20" s="17">
        <f t="shared" si="6"/>
        <v>2660.9048133069464</v>
      </c>
      <c r="L20" s="17">
        <f t="shared" si="6"/>
        <v>2652.272665178878</v>
      </c>
    </row>
    <row r="21" spans="1:12">
      <c r="A21" s="352"/>
      <c r="B21" s="102" t="str">
        <f>+B17</f>
        <v>Sin alcohol 1 l.</v>
      </c>
      <c r="C21" s="70">
        <f t="shared" si="0"/>
        <v>-296.24107465218214</v>
      </c>
      <c r="D21" s="17">
        <f t="shared" si="6"/>
        <v>-162.49862275596979</v>
      </c>
      <c r="E21" s="17">
        <f t="shared" si="6"/>
        <v>-64.277012642205591</v>
      </c>
      <c r="F21" s="17">
        <f t="shared" si="6"/>
        <v>-47.110169405791339</v>
      </c>
      <c r="G21" s="17">
        <f t="shared" si="6"/>
        <v>-74.677224525902488</v>
      </c>
      <c r="H21" s="17">
        <f t="shared" si="6"/>
        <v>212.17881365362928</v>
      </c>
      <c r="I21" s="17">
        <f t="shared" si="6"/>
        <v>9.6613877370488126</v>
      </c>
      <c r="J21" s="17">
        <f t="shared" si="6"/>
        <v>-55.282785967116297</v>
      </c>
      <c r="K21" s="17">
        <f t="shared" si="6"/>
        <v>-66.627383438675224</v>
      </c>
      <c r="L21" s="17">
        <f t="shared" si="6"/>
        <v>-47.608077307199494</v>
      </c>
    </row>
    <row r="22" spans="1:12" ht="13.5" thickBot="1">
      <c r="A22" s="352"/>
      <c r="B22" s="110" t="str">
        <f>+B18</f>
        <v>Sin alcohol 33 cl.</v>
      </c>
      <c r="C22" s="76">
        <f t="shared" si="0"/>
        <v>5774.8576332111561</v>
      </c>
      <c r="D22" s="20">
        <f t="shared" si="6"/>
        <v>1071.5128282786354</v>
      </c>
      <c r="E22" s="20">
        <f t="shared" si="6"/>
        <v>171.10343647049922</v>
      </c>
      <c r="F22" s="20">
        <f t="shared" si="6"/>
        <v>196.55514899982336</v>
      </c>
      <c r="G22" s="20">
        <f t="shared" si="6"/>
        <v>468.8234159291676</v>
      </c>
      <c r="H22" s="20">
        <f t="shared" si="6"/>
        <v>1518.5429986756799</v>
      </c>
      <c r="I22" s="20">
        <f t="shared" si="6"/>
        <v>489.78358689680408</v>
      </c>
      <c r="J22" s="20">
        <f t="shared" si="6"/>
        <v>1078.8811203140522</v>
      </c>
      <c r="K22" s="20">
        <f t="shared" si="6"/>
        <v>530.88356977902731</v>
      </c>
      <c r="L22" s="20">
        <f t="shared" si="6"/>
        <v>248.77152786746706</v>
      </c>
    </row>
    <row r="23" spans="1:12" ht="13.5" thickBot="1">
      <c r="A23" s="353"/>
      <c r="B23" s="120" t="s">
        <v>59</v>
      </c>
      <c r="C23" s="98">
        <f>SUM(D23:L23)</f>
        <v>83022.226868775455</v>
      </c>
      <c r="D23" s="22">
        <f>SUM(D19:D22)</f>
        <v>16069.253767096587</v>
      </c>
      <c r="E23" s="22">
        <f t="shared" ref="E23:L23" si="7">SUM(E19:E22)</f>
        <v>6955.6518112419799</v>
      </c>
      <c r="F23" s="22">
        <f t="shared" si="7"/>
        <v>15471.734834999965</v>
      </c>
      <c r="G23" s="22">
        <f t="shared" si="7"/>
        <v>4371.0408060132331</v>
      </c>
      <c r="H23" s="22">
        <f t="shared" si="7"/>
        <v>18522.91222337601</v>
      </c>
      <c r="I23" s="22">
        <f t="shared" si="7"/>
        <v>2574.7517601890513</v>
      </c>
      <c r="J23" s="22">
        <f t="shared" si="7"/>
        <v>10725.051978704339</v>
      </c>
      <c r="K23" s="22">
        <f t="shared" si="7"/>
        <v>4508.5355858706007</v>
      </c>
      <c r="L23" s="113">
        <f t="shared" si="7"/>
        <v>3823.2941012836982</v>
      </c>
    </row>
    <row r="24" spans="1:12" ht="12.75" customHeight="1">
      <c r="A24" s="362" t="s">
        <v>125</v>
      </c>
      <c r="B24" t="str">
        <f>+'saldos 31.01.2015 y reparto ABC'!O3</f>
        <v>1. Gestión clientes</v>
      </c>
      <c r="C24" s="254">
        <f>SUM(D24:L24)</f>
        <v>164</v>
      </c>
      <c r="D24" s="253">
        <v>4</v>
      </c>
      <c r="E24" s="253">
        <v>3</v>
      </c>
      <c r="F24" s="253">
        <v>2</v>
      </c>
      <c r="G24" s="253">
        <v>3</v>
      </c>
      <c r="H24" s="253">
        <v>10</v>
      </c>
      <c r="I24" s="253">
        <v>3</v>
      </c>
      <c r="J24" s="253">
        <v>54</v>
      </c>
      <c r="K24" s="253">
        <v>46</v>
      </c>
      <c r="L24" s="253">
        <v>39</v>
      </c>
    </row>
    <row r="25" spans="1:12">
      <c r="A25" s="363"/>
      <c r="B25" s="18" t="str">
        <f>+'saldos 31.01.2015 y reparto ABC'!P3</f>
        <v>2. Promociones</v>
      </c>
      <c r="C25" s="255">
        <f>SUM(D25:L25)</f>
        <v>112</v>
      </c>
      <c r="D25" s="256">
        <v>6</v>
      </c>
      <c r="E25" s="256">
        <v>2</v>
      </c>
      <c r="F25" s="256">
        <v>0</v>
      </c>
      <c r="G25" s="256">
        <v>1</v>
      </c>
      <c r="H25" s="256">
        <v>4</v>
      </c>
      <c r="I25" s="256">
        <v>17</v>
      </c>
      <c r="J25" s="256">
        <v>20</v>
      </c>
      <c r="K25" s="256">
        <v>25</v>
      </c>
      <c r="L25" s="256">
        <v>37</v>
      </c>
    </row>
    <row r="26" spans="1:12" ht="13.5" thickBot="1">
      <c r="A26" s="364"/>
      <c r="B26" s="252" t="str">
        <f>+'saldos 31.01.2015 y reparto ABC'!R3</f>
        <v>4. Distribución</v>
      </c>
      <c r="C26" s="107">
        <f>SUM(D26:L26)</f>
        <v>467194.33999999997</v>
      </c>
      <c r="D26" s="257">
        <f>+D2+D3*0.33+D4+D5*0.33</f>
        <v>119407.7</v>
      </c>
      <c r="E26" s="257">
        <f t="shared" ref="E26:L26" si="8">+E2+E3*0.33+E4+E5*0.33</f>
        <v>40336.5</v>
      </c>
      <c r="F26" s="257">
        <f t="shared" si="8"/>
        <v>73918.8</v>
      </c>
      <c r="G26" s="257">
        <f t="shared" si="8"/>
        <v>22209.08</v>
      </c>
      <c r="H26" s="257">
        <f t="shared" si="8"/>
        <v>83183.3</v>
      </c>
      <c r="I26" s="257">
        <f t="shared" si="8"/>
        <v>12012.1</v>
      </c>
      <c r="J26" s="257">
        <f t="shared" si="8"/>
        <v>61011.86</v>
      </c>
      <c r="K26" s="257">
        <f t="shared" si="8"/>
        <v>30941.5</v>
      </c>
      <c r="L26" s="257">
        <f t="shared" si="8"/>
        <v>24173.5</v>
      </c>
    </row>
    <row r="27" spans="1:12" ht="12.75" customHeight="1">
      <c r="A27" s="354" t="s">
        <v>126</v>
      </c>
      <c r="B27" t="str">
        <f>+'saldos 31.01.2015 y reparto ABC'!O3</f>
        <v>1. Gestión clientes</v>
      </c>
      <c r="C27" s="99">
        <f t="shared" si="0"/>
        <v>9502.5529160660808</v>
      </c>
      <c r="D27" s="19">
        <f>+D24*'saldos 31.01.2015 y reparto ABC'!$O$119</f>
        <v>231.76958331868491</v>
      </c>
      <c r="E27" s="19">
        <f>+E24*'saldos 31.01.2015 y reparto ABC'!$O$119</f>
        <v>173.82718748901368</v>
      </c>
      <c r="F27" s="19">
        <f>+F24*'saldos 31.01.2015 y reparto ABC'!$O$119</f>
        <v>115.88479165934245</v>
      </c>
      <c r="G27" s="19">
        <f>+G24*'saldos 31.01.2015 y reparto ABC'!$O$119</f>
        <v>173.82718748901368</v>
      </c>
      <c r="H27" s="19">
        <f>+H24*'saldos 31.01.2015 y reparto ABC'!$O$119</f>
        <v>579.42395829671227</v>
      </c>
      <c r="I27" s="19">
        <f>+I24*'saldos 31.01.2015 y reparto ABC'!$O$119</f>
        <v>173.82718748901368</v>
      </c>
      <c r="J27" s="19">
        <f>+J24*'saldos 31.01.2015 y reparto ABC'!$O$119</f>
        <v>3128.8893748022465</v>
      </c>
      <c r="K27" s="19">
        <f>+K24*'saldos 31.01.2015 y reparto ABC'!$O$119</f>
        <v>2665.3502081648767</v>
      </c>
      <c r="L27" s="19">
        <f>+L24*'saldos 31.01.2015 y reparto ABC'!$O$119</f>
        <v>2259.753437357178</v>
      </c>
    </row>
    <row r="28" spans="1:12">
      <c r="A28" s="355"/>
      <c r="B28" s="18" t="str">
        <f>+'saldos 31.01.2015 y reparto ABC'!P3</f>
        <v>2. Promociones</v>
      </c>
      <c r="C28" s="70">
        <f t="shared" si="0"/>
        <v>19787.407077482891</v>
      </c>
      <c r="D28" s="19">
        <f>+D25*'saldos 31.01.2015 y reparto ABC'!$P$119</f>
        <v>1060.0396648651549</v>
      </c>
      <c r="E28" s="19">
        <f>+E25*'saldos 31.01.2015 y reparto ABC'!$P$119</f>
        <v>353.3465549550516</v>
      </c>
      <c r="F28" s="19">
        <f>+F25*'saldos 31.01.2015 y reparto ABC'!$P$119</f>
        <v>0</v>
      </c>
      <c r="G28" s="19">
        <f>+G25*'saldos 31.01.2015 y reparto ABC'!$P$119</f>
        <v>176.6732774775258</v>
      </c>
      <c r="H28" s="19">
        <f>+H25*'saldos 31.01.2015 y reparto ABC'!$P$119</f>
        <v>706.6931099101032</v>
      </c>
      <c r="I28" s="19">
        <f>+I25*'saldos 31.01.2015 y reparto ABC'!$P$119</f>
        <v>3003.4457171179388</v>
      </c>
      <c r="J28" s="19">
        <f>+J25*'saldos 31.01.2015 y reparto ABC'!$P$119</f>
        <v>3533.4655495505158</v>
      </c>
      <c r="K28" s="19">
        <f>+K25*'saldos 31.01.2015 y reparto ABC'!$P$119</f>
        <v>4416.8319369381452</v>
      </c>
      <c r="L28" s="19">
        <f>+L25*'saldos 31.01.2015 y reparto ABC'!$P$119</f>
        <v>6536.911266668455</v>
      </c>
    </row>
    <row r="29" spans="1:12" ht="13.5" thickBot="1">
      <c r="A29" s="355"/>
      <c r="B29" s="122" t="str">
        <f>+'saldos 31.01.2015 y reparto ABC'!R3</f>
        <v>4. Distribución</v>
      </c>
      <c r="C29" s="76">
        <f t="shared" si="0"/>
        <v>18320.000000000004</v>
      </c>
      <c r="D29" s="19">
        <f>+D26*'saldos 31.01.2015 y reparto ABC'!$R$119</f>
        <v>4682.3107146375105</v>
      </c>
      <c r="E29" s="19">
        <f>+E26*'saldos 31.01.2015 y reparto ABC'!$R$119</f>
        <v>1581.7072612651943</v>
      </c>
      <c r="F29" s="19">
        <f>+F26*'saldos 31.01.2015 y reparto ABC'!$R$119</f>
        <v>2898.563402972733</v>
      </c>
      <c r="G29" s="19">
        <f>+G26*'saldos 31.01.2015 y reparto ABC'!$R$119</f>
        <v>870.88029705154395</v>
      </c>
      <c r="H29" s="19">
        <f>+H26*'saldos 31.01.2015 y reparto ABC'!$R$119</f>
        <v>3261.8504239584754</v>
      </c>
      <c r="I29" s="19">
        <f>+I26*'saldos 31.01.2015 y reparto ABC'!$R$119</f>
        <v>471.02812076019586</v>
      </c>
      <c r="J29" s="19">
        <f>+J26*'saldos 31.01.2015 y reparto ABC'!$R$119</f>
        <v>2392.4460968426974</v>
      </c>
      <c r="K29" s="19">
        <f>+K26*'saldos 31.01.2015 y reparto ABC'!$R$119</f>
        <v>1213.3029693810074</v>
      </c>
      <c r="L29" s="19">
        <f>+L26*'saldos 31.01.2015 y reparto ABC'!$R$119</f>
        <v>947.91071313064288</v>
      </c>
    </row>
    <row r="30" spans="1:12" ht="13.5" thickBot="1">
      <c r="B30" s="123" t="s">
        <v>96</v>
      </c>
      <c r="C30" s="98">
        <f>SUM(D30:L30)</f>
        <v>35412.266875226494</v>
      </c>
      <c r="D30" s="98">
        <f t="shared" ref="D30:L30" si="9">+D23-SUM(D27:D29)</f>
        <v>10095.133804275236</v>
      </c>
      <c r="E30" s="98">
        <f t="shared" si="9"/>
        <v>4846.77080753272</v>
      </c>
      <c r="F30" s="98">
        <f t="shared" si="9"/>
        <v>12457.286640367889</v>
      </c>
      <c r="G30" s="98">
        <f t="shared" si="9"/>
        <v>3149.6600439951499</v>
      </c>
      <c r="H30" s="98">
        <f t="shared" si="9"/>
        <v>13974.944731210719</v>
      </c>
      <c r="I30" s="98">
        <f t="shared" si="9"/>
        <v>-1073.5492651780969</v>
      </c>
      <c r="J30" s="98">
        <f t="shared" si="9"/>
        <v>1670.2509575088789</v>
      </c>
      <c r="K30" s="98">
        <f t="shared" si="9"/>
        <v>-3786.9495286134279</v>
      </c>
      <c r="L30" s="98">
        <f t="shared" si="9"/>
        <v>-5921.2813158725767</v>
      </c>
    </row>
    <row r="31" spans="1:12" ht="13.5" thickBot="1">
      <c r="B31" s="123" t="s">
        <v>97</v>
      </c>
      <c r="C31" s="124">
        <f t="shared" ref="C31:L31" si="10">+C30/C14</f>
        <v>0.1036013965874009</v>
      </c>
      <c r="D31" s="124">
        <f t="shared" si="10"/>
        <v>0.12372821829162013</v>
      </c>
      <c r="E31" s="124">
        <f t="shared" si="10"/>
        <v>0.16886761739877637</v>
      </c>
      <c r="F31" s="124">
        <f t="shared" si="10"/>
        <v>0.22616140185920999</v>
      </c>
      <c r="G31" s="124">
        <f t="shared" si="10"/>
        <v>0.18320796546216142</v>
      </c>
      <c r="H31" s="124">
        <f t="shared" si="10"/>
        <v>0.21573164160790126</v>
      </c>
      <c r="I31" s="124">
        <f t="shared" si="10"/>
        <v>-0.1081563651838218</v>
      </c>
      <c r="J31" s="124">
        <f t="shared" si="10"/>
        <v>3.6994876149108118E-2</v>
      </c>
      <c r="K31" s="124">
        <f t="shared" si="10"/>
        <v>-0.1705956072786069</v>
      </c>
      <c r="L31" s="124">
        <f t="shared" si="10"/>
        <v>-0.34436164780197542</v>
      </c>
    </row>
    <row r="32" spans="1:12">
      <c r="B32" s="104" t="s">
        <v>98</v>
      </c>
      <c r="C32" s="99">
        <f>+'saldos 31.01.2015 y reparto ABC'!T126</f>
        <v>20562.262769506797</v>
      </c>
      <c r="D32" s="125"/>
      <c r="E32" s="125"/>
      <c r="F32" s="125"/>
      <c r="G32" s="125"/>
      <c r="H32" s="125"/>
      <c r="I32" s="125"/>
      <c r="J32" s="125"/>
      <c r="K32" s="125"/>
      <c r="L32" s="125"/>
    </row>
    <row r="33" spans="2:12">
      <c r="B33" s="126" t="s">
        <v>99</v>
      </c>
      <c r="C33" s="127">
        <f>+C30-C32</f>
        <v>14850.004105719698</v>
      </c>
      <c r="D33" s="121"/>
      <c r="E33" s="121"/>
      <c r="F33" s="121"/>
      <c r="G33" s="121"/>
      <c r="H33" s="121"/>
      <c r="I33" s="121"/>
      <c r="J33" s="121"/>
      <c r="K33" s="121"/>
      <c r="L33" s="121"/>
    </row>
    <row r="34" spans="2:12">
      <c r="C34" s="100">
        <f>+C33/C14</f>
        <v>4.3444865309017526E-2</v>
      </c>
      <c r="H34"/>
    </row>
  </sheetData>
  <mergeCells count="8">
    <mergeCell ref="A1:B1"/>
    <mergeCell ref="A2:A5"/>
    <mergeCell ref="A19:A23"/>
    <mergeCell ref="A27:A29"/>
    <mergeCell ref="A6:A9"/>
    <mergeCell ref="A10:A13"/>
    <mergeCell ref="A15:A18"/>
    <mergeCell ref="A24:A26"/>
  </mergeCells>
  <phoneticPr fontId="7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intro y tareas</vt:lpstr>
      <vt:lpstr>saldos 31.01.2015 y reparto ABC</vt:lpstr>
      <vt:lpstr>MP, envases y producción</vt:lpstr>
      <vt:lpstr>horas pers</vt:lpstr>
      <vt:lpstr>coste produc-ABC</vt:lpstr>
      <vt:lpstr>prod term</vt:lpstr>
      <vt:lpstr>rdo por cliente</vt:lpstr>
      <vt:lpstr>SALDOPYG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alba</cp:lastModifiedBy>
  <dcterms:created xsi:type="dcterms:W3CDTF">2014-12-24T12:35:07Z</dcterms:created>
  <dcterms:modified xsi:type="dcterms:W3CDTF">2015-02-05T09:11:50Z</dcterms:modified>
</cp:coreProperties>
</file>