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7095" activeTab="3"/>
  </bookViews>
  <sheets>
    <sheet name="ENERO" sheetId="1" r:id="rId1"/>
    <sheet name="FEBRERO" sheetId="2" r:id="rId2"/>
    <sheet name="ENERO LIMITE DE TOLERANCIA" sheetId="3" r:id="rId3"/>
    <sheet name="FEBRERO LIMITE DE TOLERANCIA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10" i="1"/>
  <c r="G11" i="1"/>
  <c r="G12" i="1"/>
  <c r="G14" i="1"/>
  <c r="G15" i="1"/>
  <c r="G16" i="1"/>
  <c r="B56" i="3" l="1"/>
  <c r="B60" i="3"/>
  <c r="B58" i="3"/>
  <c r="B55" i="3"/>
  <c r="B57" i="3" s="1"/>
  <c r="B59" i="3" s="1"/>
  <c r="B61" i="3" s="1"/>
  <c r="B68" i="2"/>
  <c r="B66" i="2"/>
  <c r="B63" i="2"/>
  <c r="B57" i="1"/>
  <c r="B55" i="1"/>
  <c r="B53" i="1"/>
  <c r="B52" i="1"/>
  <c r="B54" i="1" s="1"/>
  <c r="C54" i="4"/>
  <c r="F33" i="4"/>
  <c r="D33" i="4"/>
  <c r="D34" i="4" s="1"/>
  <c r="C33" i="4"/>
  <c r="C34" i="4" s="1"/>
  <c r="C41" i="4" s="1"/>
  <c r="C42" i="4" s="1"/>
  <c r="B33" i="4"/>
  <c r="B34" i="4" s="1"/>
  <c r="B41" i="4" s="1"/>
  <c r="B42" i="4" s="1"/>
  <c r="E23" i="4"/>
  <c r="D4" i="4"/>
  <c r="D5" i="4" s="1"/>
  <c r="D12" i="4" s="1"/>
  <c r="D13" i="4" s="1"/>
  <c r="C4" i="4"/>
  <c r="B4" i="4"/>
  <c r="A57" i="4"/>
  <c r="B55" i="4"/>
  <c r="B54" i="4"/>
  <c r="A46" i="4"/>
  <c r="A45" i="4"/>
  <c r="F39" i="4"/>
  <c r="F40" i="4" s="1"/>
  <c r="C39" i="4"/>
  <c r="C40" i="4" s="1"/>
  <c r="D38" i="4"/>
  <c r="C38" i="4"/>
  <c r="B38" i="4"/>
  <c r="B39" i="4" s="1"/>
  <c r="B40" i="4" s="1"/>
  <c r="D37" i="4"/>
  <c r="C37" i="4"/>
  <c r="B37" i="4"/>
  <c r="E32" i="4"/>
  <c r="B11" i="4"/>
  <c r="B10" i="4"/>
  <c r="D9" i="4"/>
  <c r="C9" i="4"/>
  <c r="B9" i="4"/>
  <c r="D8" i="4"/>
  <c r="D10" i="4" s="1"/>
  <c r="D11" i="4" s="1"/>
  <c r="C8" i="4"/>
  <c r="B8" i="4"/>
  <c r="C5" i="4"/>
  <c r="B5" i="4"/>
  <c r="B12" i="4" s="1"/>
  <c r="B13" i="4" s="1"/>
  <c r="G3" i="4"/>
  <c r="E3" i="4"/>
  <c r="C44" i="3"/>
  <c r="D44" i="3"/>
  <c r="F44" i="3"/>
  <c r="B44" i="3"/>
  <c r="F43" i="3"/>
  <c r="E43" i="3"/>
  <c r="E44" i="3" s="1"/>
  <c r="D43" i="3"/>
  <c r="C43" i="3"/>
  <c r="B43" i="3"/>
  <c r="F38" i="3"/>
  <c r="D38" i="3"/>
  <c r="C38" i="3"/>
  <c r="B38" i="3"/>
  <c r="C16" i="3"/>
  <c r="C17" i="3" s="1"/>
  <c r="D17" i="3"/>
  <c r="F17" i="3"/>
  <c r="B17" i="3"/>
  <c r="D16" i="3"/>
  <c r="B16" i="3"/>
  <c r="D11" i="3"/>
  <c r="C11" i="3"/>
  <c r="B11" i="3"/>
  <c r="A42" i="3"/>
  <c r="A41" i="3"/>
  <c r="F35" i="3"/>
  <c r="F36" i="3" s="1"/>
  <c r="C35" i="3"/>
  <c r="C37" i="3" s="1"/>
  <c r="D34" i="3"/>
  <c r="D35" i="3" s="1"/>
  <c r="C34" i="3"/>
  <c r="B34" i="3"/>
  <c r="D33" i="3"/>
  <c r="C33" i="3"/>
  <c r="B33" i="3"/>
  <c r="E30" i="3"/>
  <c r="E21" i="3"/>
  <c r="B8" i="3"/>
  <c r="B9" i="3" s="1"/>
  <c r="D7" i="3"/>
  <c r="C7" i="3"/>
  <c r="C8" i="3" s="1"/>
  <c r="B7" i="3"/>
  <c r="D6" i="3"/>
  <c r="D8" i="3" s="1"/>
  <c r="C6" i="3"/>
  <c r="B6" i="3"/>
  <c r="E3" i="3"/>
  <c r="G3" i="3" s="1"/>
  <c r="B56" i="1" l="1"/>
  <c r="B58" i="1" s="1"/>
  <c r="B47" i="4"/>
  <c r="G43" i="3"/>
  <c r="B18" i="4"/>
  <c r="D18" i="4"/>
  <c r="E33" i="4"/>
  <c r="G33" i="4" s="1"/>
  <c r="E4" i="4"/>
  <c r="E5" i="4" s="1"/>
  <c r="B14" i="4"/>
  <c r="C43" i="4"/>
  <c r="D14" i="4"/>
  <c r="C12" i="4"/>
  <c r="C10" i="4"/>
  <c r="C11" i="4" s="1"/>
  <c r="D39" i="4"/>
  <c r="D40" i="4" s="1"/>
  <c r="E16" i="3"/>
  <c r="C10" i="3"/>
  <c r="C9" i="3"/>
  <c r="D9" i="3"/>
  <c r="D10" i="3"/>
  <c r="D37" i="3"/>
  <c r="D36" i="3"/>
  <c r="B10" i="3"/>
  <c r="B35" i="3"/>
  <c r="C36" i="3"/>
  <c r="C39" i="3" s="1"/>
  <c r="A55" i="2"/>
  <c r="B53" i="2"/>
  <c r="C52" i="2"/>
  <c r="B52" i="2"/>
  <c r="D37" i="2"/>
  <c r="C37" i="2"/>
  <c r="B37" i="2"/>
  <c r="D36" i="2"/>
  <c r="C36" i="2"/>
  <c r="C38" i="2" s="1"/>
  <c r="B36" i="2"/>
  <c r="F32" i="2"/>
  <c r="D32" i="2"/>
  <c r="D33" i="2" s="1"/>
  <c r="D40" i="2" s="1"/>
  <c r="C32" i="2"/>
  <c r="C33" i="2" s="1"/>
  <c r="C40" i="2" s="1"/>
  <c r="B32" i="2"/>
  <c r="E22" i="2"/>
  <c r="D9" i="2"/>
  <c r="C9" i="2"/>
  <c r="B9" i="2"/>
  <c r="D8" i="2"/>
  <c r="C8" i="2"/>
  <c r="B8" i="2"/>
  <c r="B5" i="2"/>
  <c r="B12" i="2" s="1"/>
  <c r="D4" i="2"/>
  <c r="D5" i="2" s="1"/>
  <c r="D12" i="2" s="1"/>
  <c r="C4" i="2"/>
  <c r="C5" i="2" s="1"/>
  <c r="C12" i="2" s="1"/>
  <c r="B4" i="2"/>
  <c r="A45" i="2"/>
  <c r="A44" i="2"/>
  <c r="F38" i="2"/>
  <c r="F39" i="2" s="1"/>
  <c r="D38" i="2"/>
  <c r="E31" i="2"/>
  <c r="D10" i="2"/>
  <c r="D11" i="2" s="1"/>
  <c r="C10" i="2"/>
  <c r="E3" i="2"/>
  <c r="G3" i="2" s="1"/>
  <c r="D48" i="1"/>
  <c r="C48" i="1"/>
  <c r="C47" i="1"/>
  <c r="C46" i="1"/>
  <c r="A41" i="1"/>
  <c r="A40" i="1"/>
  <c r="H42" i="1"/>
  <c r="F42" i="1"/>
  <c r="F41" i="1"/>
  <c r="F40" i="1"/>
  <c r="F38" i="1"/>
  <c r="F37" i="1"/>
  <c r="F36" i="1"/>
  <c r="F35" i="1"/>
  <c r="F34" i="1"/>
  <c r="D33" i="1"/>
  <c r="C33" i="1"/>
  <c r="B33" i="1"/>
  <c r="D32" i="1"/>
  <c r="C32" i="1"/>
  <c r="B32" i="1"/>
  <c r="F29" i="1"/>
  <c r="B34" i="1"/>
  <c r="B35" i="1" s="1"/>
  <c r="D34" i="1"/>
  <c r="E29" i="1"/>
  <c r="G29" i="1" s="1"/>
  <c r="F24" i="1"/>
  <c r="F21" i="1"/>
  <c r="E24" i="1"/>
  <c r="E23" i="1"/>
  <c r="E22" i="1"/>
  <c r="E21" i="1"/>
  <c r="D21" i="1"/>
  <c r="C21" i="1"/>
  <c r="B21" i="1"/>
  <c r="E20" i="1"/>
  <c r="C16" i="1"/>
  <c r="D16" i="1"/>
  <c r="E16" i="1"/>
  <c r="B16" i="1"/>
  <c r="E15" i="1"/>
  <c r="C15" i="1"/>
  <c r="D15" i="1"/>
  <c r="B15" i="1"/>
  <c r="E14" i="1"/>
  <c r="C14" i="1"/>
  <c r="D14" i="1"/>
  <c r="B14" i="1"/>
  <c r="C12" i="1"/>
  <c r="D12" i="1"/>
  <c r="E12" i="1"/>
  <c r="B12" i="1"/>
  <c r="E11" i="1"/>
  <c r="E10" i="1"/>
  <c r="C11" i="1"/>
  <c r="D11" i="1"/>
  <c r="B11" i="1"/>
  <c r="C10" i="1"/>
  <c r="D10" i="1"/>
  <c r="B10" i="1"/>
  <c r="C9" i="1"/>
  <c r="D9" i="1"/>
  <c r="B9" i="1"/>
  <c r="C8" i="1"/>
  <c r="D8" i="1"/>
  <c r="B8" i="1"/>
  <c r="D7" i="1"/>
  <c r="C7" i="1"/>
  <c r="B7" i="1"/>
  <c r="D6" i="1"/>
  <c r="C6" i="1"/>
  <c r="B6" i="1"/>
  <c r="E32" i="2" l="1"/>
  <c r="G32" i="2" s="1"/>
  <c r="B33" i="2"/>
  <c r="C13" i="4"/>
  <c r="C14" i="4" s="1"/>
  <c r="C18" i="4"/>
  <c r="E18" i="4" s="1"/>
  <c r="G18" i="4" s="1"/>
  <c r="G4" i="4"/>
  <c r="G5" i="4" s="1"/>
  <c r="E34" i="4"/>
  <c r="C45" i="4"/>
  <c r="C46" i="4"/>
  <c r="B16" i="4"/>
  <c r="B17" i="4"/>
  <c r="D16" i="4"/>
  <c r="D17" i="4"/>
  <c r="B43" i="4"/>
  <c r="D41" i="4"/>
  <c r="D42" i="4" s="1"/>
  <c r="E12" i="4"/>
  <c r="G16" i="3"/>
  <c r="B62" i="3" s="1"/>
  <c r="B63" i="3" s="1"/>
  <c r="E17" i="3"/>
  <c r="C41" i="3"/>
  <c r="C42" i="3"/>
  <c r="D12" i="3"/>
  <c r="B37" i="3"/>
  <c r="B36" i="3"/>
  <c r="E10" i="3"/>
  <c r="B12" i="3"/>
  <c r="E11" i="3"/>
  <c r="G11" i="3" s="1"/>
  <c r="C12" i="3"/>
  <c r="D39" i="3"/>
  <c r="E4" i="2"/>
  <c r="G4" i="2" s="1"/>
  <c r="G5" i="2" s="1"/>
  <c r="E5" i="2"/>
  <c r="D39" i="2"/>
  <c r="C11" i="2"/>
  <c r="C39" i="2"/>
  <c r="B38" i="2"/>
  <c r="B40" i="2" s="1"/>
  <c r="B10" i="2"/>
  <c r="D36" i="1"/>
  <c r="D35" i="1"/>
  <c r="C34" i="1"/>
  <c r="B36" i="1"/>
  <c r="E33" i="2" l="1"/>
  <c r="C48" i="4"/>
  <c r="B24" i="4"/>
  <c r="B19" i="4"/>
  <c r="D19" i="4"/>
  <c r="C16" i="4"/>
  <c r="C17" i="4"/>
  <c r="E17" i="4" s="1"/>
  <c r="G17" i="4" s="1"/>
  <c r="E42" i="4"/>
  <c r="E41" i="4"/>
  <c r="E13" i="4"/>
  <c r="G13" i="4" s="1"/>
  <c r="G12" i="4"/>
  <c r="B45" i="4"/>
  <c r="B46" i="4"/>
  <c r="D24" i="4"/>
  <c r="D41" i="3"/>
  <c r="D42" i="3"/>
  <c r="C14" i="3"/>
  <c r="C15" i="3"/>
  <c r="B14" i="3"/>
  <c r="B15" i="3"/>
  <c r="D14" i="3"/>
  <c r="D15" i="3"/>
  <c r="E12" i="3"/>
  <c r="G12" i="3" s="1"/>
  <c r="G10" i="3"/>
  <c r="E38" i="3"/>
  <c r="B39" i="3"/>
  <c r="E37" i="3"/>
  <c r="B11" i="2"/>
  <c r="B39" i="2"/>
  <c r="C41" i="2"/>
  <c r="C42" i="2" s="1"/>
  <c r="D41" i="2"/>
  <c r="D42" i="2" s="1"/>
  <c r="C13" i="2"/>
  <c r="C14" i="2" s="1"/>
  <c r="D13" i="2"/>
  <c r="D14" i="2" s="1"/>
  <c r="B37" i="1"/>
  <c r="B38" i="1" s="1"/>
  <c r="D37" i="1"/>
  <c r="D38" i="1" s="1"/>
  <c r="C36" i="1"/>
  <c r="E36" i="1" s="1"/>
  <c r="C35" i="1"/>
  <c r="E3" i="1"/>
  <c r="B48" i="4" l="1"/>
  <c r="C19" i="4"/>
  <c r="D43" i="4"/>
  <c r="D45" i="4" s="1"/>
  <c r="E14" i="4"/>
  <c r="G14" i="4" s="1"/>
  <c r="E43" i="4"/>
  <c r="C24" i="4"/>
  <c r="E24" i="4" s="1"/>
  <c r="E16" i="4"/>
  <c r="E19" i="4" s="1"/>
  <c r="B41" i="3"/>
  <c r="B42" i="3"/>
  <c r="E42" i="3" s="1"/>
  <c r="D22" i="3"/>
  <c r="C22" i="3"/>
  <c r="E15" i="3"/>
  <c r="G15" i="3" s="1"/>
  <c r="G17" i="3" s="1"/>
  <c r="E39" i="3"/>
  <c r="B22" i="3"/>
  <c r="E14" i="3"/>
  <c r="C16" i="2"/>
  <c r="C17" i="2"/>
  <c r="D44" i="2"/>
  <c r="D45" i="2"/>
  <c r="C44" i="2"/>
  <c r="C45" i="2"/>
  <c r="D16" i="2"/>
  <c r="D17" i="2"/>
  <c r="B41" i="2"/>
  <c r="E41" i="2" s="1"/>
  <c r="E40" i="2"/>
  <c r="E12" i="2"/>
  <c r="B13" i="2"/>
  <c r="E13" i="2" s="1"/>
  <c r="G13" i="2" s="1"/>
  <c r="G36" i="1"/>
  <c r="D40" i="1"/>
  <c r="D41" i="1"/>
  <c r="B40" i="1"/>
  <c r="B41" i="1"/>
  <c r="C37" i="1"/>
  <c r="E37" i="1" s="1"/>
  <c r="E45" i="4" l="1"/>
  <c r="D46" i="4"/>
  <c r="E46" i="4" s="1"/>
  <c r="G16" i="4"/>
  <c r="G19" i="4" s="1"/>
  <c r="E25" i="4"/>
  <c r="F24" i="4"/>
  <c r="E22" i="3"/>
  <c r="G14" i="3"/>
  <c r="F22" i="3"/>
  <c r="E23" i="3"/>
  <c r="E41" i="3"/>
  <c r="B42" i="2"/>
  <c r="E14" i="2"/>
  <c r="G14" i="2" s="1"/>
  <c r="G12" i="2"/>
  <c r="E42" i="2"/>
  <c r="D18" i="2"/>
  <c r="D23" i="2"/>
  <c r="D46" i="2"/>
  <c r="B44" i="2"/>
  <c r="B45" i="2"/>
  <c r="E45" i="2" s="1"/>
  <c r="B14" i="2"/>
  <c r="C46" i="2"/>
  <c r="C23" i="2"/>
  <c r="C18" i="2"/>
  <c r="G37" i="1"/>
  <c r="E38" i="1"/>
  <c r="G38" i="1" s="1"/>
  <c r="C38" i="1"/>
  <c r="D42" i="1"/>
  <c r="B42" i="1"/>
  <c r="E48" i="4" l="1"/>
  <c r="D48" i="4"/>
  <c r="E26" i="4"/>
  <c r="E27" i="4"/>
  <c r="E24" i="3"/>
  <c r="E25" i="3"/>
  <c r="E44" i="2"/>
  <c r="B46" i="2"/>
  <c r="B16" i="2"/>
  <c r="B23" i="2" s="1"/>
  <c r="B17" i="2"/>
  <c r="E17" i="2" s="1"/>
  <c r="G17" i="2" s="1"/>
  <c r="C40" i="1"/>
  <c r="C41" i="1"/>
  <c r="E41" i="1" s="1"/>
  <c r="G41" i="1" s="1"/>
  <c r="F32" i="4" l="1"/>
  <c r="F27" i="4"/>
  <c r="F25" i="3"/>
  <c r="F30" i="3"/>
  <c r="E23" i="2"/>
  <c r="E24" i="2" s="1"/>
  <c r="E16" i="2"/>
  <c r="B18" i="2"/>
  <c r="E46" i="2"/>
  <c r="C42" i="1"/>
  <c r="E40" i="1"/>
  <c r="F34" i="4" l="1"/>
  <c r="F41" i="4" s="1"/>
  <c r="G32" i="4"/>
  <c r="G34" i="4" s="1"/>
  <c r="G30" i="3"/>
  <c r="F37" i="3"/>
  <c r="E26" i="2"/>
  <c r="E25" i="2"/>
  <c r="G16" i="2"/>
  <c r="E18" i="2"/>
  <c r="G18" i="2" s="1"/>
  <c r="F23" i="2"/>
  <c r="E42" i="1"/>
  <c r="G42" i="1" s="1"/>
  <c r="G40" i="1"/>
  <c r="F42" i="4" l="1"/>
  <c r="G42" i="4" s="1"/>
  <c r="F47" i="4"/>
  <c r="G47" i="4" s="1"/>
  <c r="G41" i="4"/>
  <c r="G38" i="3"/>
  <c r="G37" i="3"/>
  <c r="F26" i="2"/>
  <c r="F31" i="2"/>
  <c r="F33" i="2" s="1"/>
  <c r="F40" i="2" s="1"/>
  <c r="F43" i="4" l="1"/>
  <c r="F39" i="3"/>
  <c r="G31" i="2"/>
  <c r="G33" i="2" s="1"/>
  <c r="F45" i="4" l="1"/>
  <c r="F46" i="4"/>
  <c r="G46" i="4" s="1"/>
  <c r="G43" i="4"/>
  <c r="F42" i="3"/>
  <c r="G42" i="3" s="1"/>
  <c r="F41" i="3"/>
  <c r="G39" i="3"/>
  <c r="F41" i="2"/>
  <c r="G41" i="2" s="1"/>
  <c r="G40" i="2"/>
  <c r="H44" i="3" l="1"/>
  <c r="G44" i="3"/>
  <c r="F48" i="4"/>
  <c r="G45" i="4"/>
  <c r="C50" i="3"/>
  <c r="C49" i="3"/>
  <c r="G41" i="3"/>
  <c r="F42" i="2"/>
  <c r="F45" i="2" s="1"/>
  <c r="G45" i="2" s="1"/>
  <c r="G48" i="4" l="1"/>
  <c r="H48" i="4"/>
  <c r="C52" i="4"/>
  <c r="C55" i="4" s="1"/>
  <c r="C48" i="3"/>
  <c r="D50" i="3"/>
  <c r="G42" i="2"/>
  <c r="F44" i="2"/>
  <c r="G44" i="2" s="1"/>
  <c r="D55" i="4" l="1"/>
  <c r="C56" i="4"/>
  <c r="F46" i="2"/>
  <c r="G46" i="2" s="1"/>
  <c r="H46" i="2"/>
  <c r="C50" i="2"/>
  <c r="C53" i="2" s="1"/>
  <c r="C54" i="2" l="1"/>
  <c r="D53" i="2"/>
  <c r="C58" i="4"/>
  <c r="C57" i="4"/>
  <c r="C59" i="4" l="1"/>
  <c r="C55" i="2"/>
  <c r="C56" i="2"/>
  <c r="B64" i="2" l="1"/>
  <c r="B65" i="2" s="1"/>
  <c r="B67" i="2" s="1"/>
  <c r="B69" i="2" s="1"/>
  <c r="C57" i="2"/>
</calcChain>
</file>

<file path=xl/sharedStrings.xml><?xml version="1.0" encoding="utf-8"?>
<sst xmlns="http://schemas.openxmlformats.org/spreadsheetml/2006/main" count="306" uniqueCount="74">
  <si>
    <t>ENERO</t>
  </si>
  <si>
    <t xml:space="preserve">MATERIA PRIMA </t>
  </si>
  <si>
    <t>MOD</t>
  </si>
  <si>
    <t>CIF</t>
  </si>
  <si>
    <t>TOTAL</t>
  </si>
  <si>
    <t>CDA</t>
  </si>
  <si>
    <t>CTA</t>
  </si>
  <si>
    <t>COSTES</t>
  </si>
  <si>
    <t>Unidades en fabricación: 10000 uds.</t>
  </si>
  <si>
    <t>450 Up</t>
  </si>
  <si>
    <t>7050 Uet</t>
  </si>
  <si>
    <t>DEPARTAMENTO 1 (sin límite de tolerancia)</t>
  </si>
  <si>
    <t>CAUP</t>
  </si>
  <si>
    <t>Unidades Equivalentes Brutas</t>
  </si>
  <si>
    <t>Unidades Equivalentes Netas</t>
  </si>
  <si>
    <t>Coste Unitario Puro</t>
  </si>
  <si>
    <t>Coste Unitario Rectificado</t>
  </si>
  <si>
    <t>Valoración</t>
  </si>
  <si>
    <t>Total</t>
  </si>
  <si>
    <t>Coste de las unidades que pasan a Dep 2</t>
  </si>
  <si>
    <t>250 Ei PPSSTT</t>
  </si>
  <si>
    <t>CRITERIO DE VALORACIÓN CMP</t>
  </si>
  <si>
    <t>CMP</t>
  </si>
  <si>
    <t>6000 Unidades pasan al departamento 2</t>
  </si>
  <si>
    <t>1300 Ef PPSSTT</t>
  </si>
  <si>
    <t>DEPARTAMENTO 2 (sin límite de tolerancia)</t>
  </si>
  <si>
    <t>Unidades en fabricación: 6000 uds.</t>
  </si>
  <si>
    <t>3950 Uet</t>
  </si>
  <si>
    <t>250 Up</t>
  </si>
  <si>
    <t>Coste de la producción terminada</t>
  </si>
  <si>
    <t>Coste de la producción vendida</t>
  </si>
  <si>
    <t>2700 Unidades</t>
  </si>
  <si>
    <t>3950 Unidades</t>
  </si>
  <si>
    <t>Existencias finales de PPTT</t>
  </si>
  <si>
    <t>1250 Unidades</t>
  </si>
  <si>
    <t>FEBRERO</t>
  </si>
  <si>
    <t>13000 Uet</t>
  </si>
  <si>
    <t>Costes de Febrero</t>
  </si>
  <si>
    <t>Ei de PPCC</t>
  </si>
  <si>
    <t>Total de costes</t>
  </si>
  <si>
    <t>Unidades en fabricación: 12000 + 2500 uds.</t>
  </si>
  <si>
    <t>300 Up</t>
  </si>
  <si>
    <t>1300 Ei PPSSTT</t>
  </si>
  <si>
    <t>13500 Unidades pasan al departamento 2</t>
  </si>
  <si>
    <t>800 Ef PPSSTT</t>
  </si>
  <si>
    <t>Unidades en fabricación: 13500 + 1800 uds.</t>
  </si>
  <si>
    <t>6520 Uet</t>
  </si>
  <si>
    <t>280 Up</t>
  </si>
  <si>
    <t>6520 Unidades</t>
  </si>
  <si>
    <t>Existencias iniciales de PPTT</t>
  </si>
  <si>
    <t>Coste de la producción terminada en feb.</t>
  </si>
  <si>
    <t>6000 Unidades</t>
  </si>
  <si>
    <t>1770 Unidades</t>
  </si>
  <si>
    <t>DEPARTAMENTO 1 (límite de tolerancia 180 unidades)</t>
  </si>
  <si>
    <t>Ltolerancia</t>
  </si>
  <si>
    <t>Pérdida Extraordinaria</t>
  </si>
  <si>
    <t>DEPARTAMENTO 2 (límite de tolerancia 120 unidades)</t>
  </si>
  <si>
    <t>Cuenta de Resultados</t>
  </si>
  <si>
    <t>Ingresos por ventas netas</t>
  </si>
  <si>
    <t>Coste industrial de la producción vendida</t>
  </si>
  <si>
    <t>Margen bruto</t>
  </si>
  <si>
    <t>Costes comerciales</t>
  </si>
  <si>
    <t>Margen comercial</t>
  </si>
  <si>
    <t>Costes de administración</t>
  </si>
  <si>
    <t>Resultado Analítico</t>
  </si>
  <si>
    <t xml:space="preserve">precio venta </t>
  </si>
  <si>
    <t>uds vendidas</t>
  </si>
  <si>
    <t>costes comerciales</t>
  </si>
  <si>
    <t>costes admon</t>
  </si>
  <si>
    <t>Resultado Analítico Ordinario</t>
  </si>
  <si>
    <t>2500 Uec</t>
  </si>
  <si>
    <t>1800 Uec</t>
  </si>
  <si>
    <t>1200 Uec</t>
  </si>
  <si>
    <t>8500 Uec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</si>
</sst>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22" workbookViewId="0">
      <selection activeCell="F44" sqref="F44"/>
    </sheetView>
  </sheetViews>
  <sheetFormatPr baseColWidth="10" defaultRowHeight="15" x14ac:dyDescent="0.25"/>
  <cols>
    <col min="1" max="1" width="42" customWidth="1"/>
    <col min="2" max="2" width="19" style="1" customWidth="1"/>
    <col min="3" max="7" width="11.42578125" style="1"/>
  </cols>
  <sheetData>
    <row r="1" spans="1:7" x14ac:dyDescent="0.25">
      <c r="A1" s="12" t="s">
        <v>0</v>
      </c>
      <c r="B1" s="13"/>
      <c r="C1" s="13"/>
      <c r="D1" s="13"/>
      <c r="E1" s="13"/>
      <c r="F1" s="13"/>
      <c r="G1" s="13"/>
    </row>
    <row r="2" spans="1:7" x14ac:dyDescent="0.25">
      <c r="A2" s="12" t="s">
        <v>11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7" x14ac:dyDescent="0.25">
      <c r="A3" s="5" t="s">
        <v>7</v>
      </c>
      <c r="B3" s="7">
        <v>82500</v>
      </c>
      <c r="C3" s="7">
        <v>120460</v>
      </c>
      <c r="D3" s="7">
        <v>235780</v>
      </c>
      <c r="E3" s="7">
        <f>SUM(B3:D3)</f>
        <v>438740</v>
      </c>
      <c r="F3" s="7"/>
      <c r="G3" s="7">
        <f>E3+F3</f>
        <v>438740</v>
      </c>
    </row>
    <row r="4" spans="1:7" x14ac:dyDescent="0.25">
      <c r="A4" s="5" t="s">
        <v>8</v>
      </c>
      <c r="B4" s="7"/>
      <c r="C4" s="7"/>
      <c r="D4" s="7"/>
      <c r="E4" s="7"/>
      <c r="F4" s="7"/>
      <c r="G4" s="7"/>
    </row>
    <row r="5" spans="1:7" x14ac:dyDescent="0.25">
      <c r="A5" s="5" t="s">
        <v>10</v>
      </c>
      <c r="B5" s="7">
        <v>7050</v>
      </c>
      <c r="C5" s="7">
        <v>7050</v>
      </c>
      <c r="D5" s="7">
        <v>7050</v>
      </c>
      <c r="E5" s="7"/>
      <c r="F5" s="7"/>
      <c r="G5" s="7"/>
    </row>
    <row r="6" spans="1:7" x14ac:dyDescent="0.25">
      <c r="A6" s="5" t="s">
        <v>70</v>
      </c>
      <c r="B6" s="7">
        <f>2500*1</f>
        <v>2500</v>
      </c>
      <c r="C6" s="7">
        <f>2500*0.3</f>
        <v>750</v>
      </c>
      <c r="D6" s="7">
        <f>2500*0.5</f>
        <v>1250</v>
      </c>
      <c r="E6" s="7"/>
      <c r="F6" s="7"/>
      <c r="G6" s="7"/>
    </row>
    <row r="7" spans="1:7" x14ac:dyDescent="0.25">
      <c r="A7" s="5" t="s">
        <v>9</v>
      </c>
      <c r="B7" s="7">
        <f>450*1</f>
        <v>450</v>
      </c>
      <c r="C7" s="7">
        <f>0.8*450</f>
        <v>360</v>
      </c>
      <c r="D7" s="7">
        <f>450*0.8</f>
        <v>360</v>
      </c>
      <c r="E7" s="7"/>
      <c r="F7" s="7"/>
      <c r="G7" s="7"/>
    </row>
    <row r="8" spans="1:7" x14ac:dyDescent="0.25">
      <c r="A8" s="5" t="s">
        <v>13</v>
      </c>
      <c r="B8" s="7">
        <f>SUM(B5:B7)</f>
        <v>10000</v>
      </c>
      <c r="C8" s="7">
        <f t="shared" ref="C8:D8" si="0">SUM(C5:C7)</f>
        <v>8160</v>
      </c>
      <c r="D8" s="7">
        <f t="shared" si="0"/>
        <v>8660</v>
      </c>
      <c r="E8" s="7"/>
      <c r="F8" s="7"/>
      <c r="G8" s="7"/>
    </row>
    <row r="9" spans="1:7" x14ac:dyDescent="0.25">
      <c r="A9" s="5" t="s">
        <v>14</v>
      </c>
      <c r="B9" s="7">
        <f>B8-B7</f>
        <v>9550</v>
      </c>
      <c r="C9" s="7">
        <f t="shared" ref="C9:D9" si="1">C8-C7</f>
        <v>7800</v>
      </c>
      <c r="D9" s="7">
        <f t="shared" si="1"/>
        <v>8300</v>
      </c>
      <c r="E9" s="7"/>
      <c r="F9" s="7"/>
      <c r="G9" s="7"/>
    </row>
    <row r="10" spans="1:7" x14ac:dyDescent="0.25">
      <c r="A10" s="5" t="s">
        <v>15</v>
      </c>
      <c r="B10" s="7">
        <f>B3/B8</f>
        <v>8.25</v>
      </c>
      <c r="C10" s="7">
        <f t="shared" ref="C10:D10" si="2">C3/C8</f>
        <v>14.762254901960784</v>
      </c>
      <c r="D10" s="7">
        <f t="shared" si="2"/>
        <v>27.226327944572748</v>
      </c>
      <c r="E10" s="7">
        <f>B10+C10+D10</f>
        <v>50.238582846533532</v>
      </c>
      <c r="F10" s="7"/>
      <c r="G10" s="7">
        <f>E10+F10</f>
        <v>50.238582846533532</v>
      </c>
    </row>
    <row r="11" spans="1:7" x14ac:dyDescent="0.25">
      <c r="A11" s="5" t="s">
        <v>12</v>
      </c>
      <c r="B11" s="7">
        <f>B10*B7/B9</f>
        <v>0.38874345549738221</v>
      </c>
      <c r="C11" s="7">
        <f t="shared" ref="C11:D11" si="3">C10*C7/C9</f>
        <v>0.68133484162895919</v>
      </c>
      <c r="D11" s="7">
        <f t="shared" si="3"/>
        <v>1.1809009710899023</v>
      </c>
      <c r="E11" s="7">
        <f>B11+C11+D11</f>
        <v>2.2509792682162439</v>
      </c>
      <c r="F11" s="7"/>
      <c r="G11" s="7">
        <f t="shared" ref="G11:G12" si="4">E11+F11</f>
        <v>2.2509792682162439</v>
      </c>
    </row>
    <row r="12" spans="1:7" x14ac:dyDescent="0.25">
      <c r="A12" s="5" t="s">
        <v>16</v>
      </c>
      <c r="B12" s="7">
        <f>B10+B11</f>
        <v>8.6387434554973819</v>
      </c>
      <c r="C12" s="7">
        <f t="shared" ref="C12:E12" si="5">C10+C11</f>
        <v>15.443589743589744</v>
      </c>
      <c r="D12" s="7">
        <f t="shared" si="5"/>
        <v>28.40722891566265</v>
      </c>
      <c r="E12" s="7">
        <f t="shared" si="5"/>
        <v>52.489562114749774</v>
      </c>
      <c r="F12" s="7"/>
      <c r="G12" s="7">
        <f t="shared" si="4"/>
        <v>52.489562114749774</v>
      </c>
    </row>
    <row r="13" spans="1:7" x14ac:dyDescent="0.25">
      <c r="A13" s="5" t="s">
        <v>17</v>
      </c>
      <c r="B13" s="7"/>
      <c r="C13" s="7"/>
      <c r="D13" s="7"/>
      <c r="E13" s="7"/>
      <c r="F13" s="7"/>
      <c r="G13" s="7"/>
    </row>
    <row r="14" spans="1:7" x14ac:dyDescent="0.25">
      <c r="A14" s="5" t="s">
        <v>10</v>
      </c>
      <c r="B14" s="7">
        <f>B5*B12</f>
        <v>60903.141361256545</v>
      </c>
      <c r="C14" s="7">
        <f t="shared" ref="C14:D14" si="6">C5*C12</f>
        <v>108877.30769230769</v>
      </c>
      <c r="D14" s="7">
        <f t="shared" si="6"/>
        <v>200270.96385542167</v>
      </c>
      <c r="E14" s="7">
        <f>B14+C14+D14</f>
        <v>370051.41290898586</v>
      </c>
      <c r="F14" s="7"/>
      <c r="G14" s="7">
        <f>E14+F14</f>
        <v>370051.41290898586</v>
      </c>
    </row>
    <row r="15" spans="1:7" x14ac:dyDescent="0.25">
      <c r="A15" s="5" t="s">
        <v>70</v>
      </c>
      <c r="B15" s="7">
        <f>B6*B12</f>
        <v>21596.858638743455</v>
      </c>
      <c r="C15" s="7">
        <f t="shared" ref="C15:D15" si="7">C6*C12</f>
        <v>11582.692307692309</v>
      </c>
      <c r="D15" s="7">
        <f t="shared" si="7"/>
        <v>35509.036144578313</v>
      </c>
      <c r="E15" s="7">
        <f>B15+C15+D15</f>
        <v>68688.58709101408</v>
      </c>
      <c r="F15" s="7"/>
      <c r="G15" s="7">
        <f t="shared" ref="G15:G16" si="8">E15+F15</f>
        <v>68688.58709101408</v>
      </c>
    </row>
    <row r="16" spans="1:7" x14ac:dyDescent="0.25">
      <c r="A16" s="5" t="s">
        <v>18</v>
      </c>
      <c r="B16" s="7">
        <f>B14+B15</f>
        <v>82500</v>
      </c>
      <c r="C16" s="7">
        <f t="shared" ref="C16:E16" si="9">C14+C15</f>
        <v>120460</v>
      </c>
      <c r="D16" s="7">
        <f t="shared" si="9"/>
        <v>235779.99999999997</v>
      </c>
      <c r="E16" s="7">
        <f t="shared" si="9"/>
        <v>438739.99999999994</v>
      </c>
      <c r="F16" s="7"/>
      <c r="G16" s="7">
        <f t="shared" si="8"/>
        <v>438739.99999999994</v>
      </c>
    </row>
    <row r="17" spans="1:7" x14ac:dyDescent="0.25">
      <c r="A17" s="8"/>
      <c r="B17" s="9"/>
      <c r="C17" s="9"/>
      <c r="D17" s="9"/>
      <c r="E17" s="9"/>
      <c r="F17" s="9"/>
      <c r="G17" s="9"/>
    </row>
    <row r="18" spans="1:7" x14ac:dyDescent="0.25">
      <c r="A18" s="12" t="s">
        <v>21</v>
      </c>
      <c r="B18" s="7"/>
      <c r="C18" s="7"/>
      <c r="D18" s="7"/>
      <c r="E18" s="7"/>
      <c r="F18" s="4"/>
      <c r="G18" s="4"/>
    </row>
    <row r="19" spans="1:7" x14ac:dyDescent="0.25">
      <c r="A19" s="14" t="s">
        <v>19</v>
      </c>
      <c r="B19" s="15" t="s">
        <v>1</v>
      </c>
      <c r="C19" s="15" t="s">
        <v>2</v>
      </c>
      <c r="D19" s="15" t="s">
        <v>3</v>
      </c>
      <c r="E19" s="15" t="s">
        <v>4</v>
      </c>
      <c r="F19" s="4"/>
      <c r="G19" s="4"/>
    </row>
    <row r="20" spans="1:7" x14ac:dyDescent="0.25">
      <c r="A20" s="14" t="s">
        <v>20</v>
      </c>
      <c r="B20" s="15">
        <v>2000</v>
      </c>
      <c r="C20" s="15">
        <v>3500</v>
      </c>
      <c r="D20" s="15">
        <v>6250</v>
      </c>
      <c r="E20" s="15">
        <f>B20+C20+D20</f>
        <v>11750</v>
      </c>
      <c r="F20" s="4"/>
      <c r="G20" s="4"/>
    </row>
    <row r="21" spans="1:7" x14ac:dyDescent="0.25">
      <c r="A21" s="14" t="s">
        <v>10</v>
      </c>
      <c r="B21" s="15">
        <f>B14</f>
        <v>60903.141361256545</v>
      </c>
      <c r="C21" s="15">
        <f>C14</f>
        <v>108877.30769230769</v>
      </c>
      <c r="D21" s="15">
        <f>D14</f>
        <v>200270.96385542167</v>
      </c>
      <c r="E21" s="15">
        <f>B21+C21+D21</f>
        <v>370051.41290898586</v>
      </c>
      <c r="F21" s="4">
        <f>E20+E21</f>
        <v>381801.41290898586</v>
      </c>
      <c r="G21" s="4"/>
    </row>
    <row r="22" spans="1:7" x14ac:dyDescent="0.25">
      <c r="A22" s="14" t="s">
        <v>22</v>
      </c>
      <c r="B22" s="15"/>
      <c r="C22" s="15"/>
      <c r="D22" s="15"/>
      <c r="E22" s="15">
        <f>(E20+E21)/(250+7050)</f>
        <v>52.301563412189843</v>
      </c>
      <c r="F22" s="4"/>
      <c r="G22" s="4"/>
    </row>
    <row r="23" spans="1:7" x14ac:dyDescent="0.25">
      <c r="A23" s="14" t="s">
        <v>23</v>
      </c>
      <c r="B23" s="15"/>
      <c r="C23" s="15"/>
      <c r="D23" s="15"/>
      <c r="E23" s="15">
        <f>E22*6000</f>
        <v>313809.38047313906</v>
      </c>
      <c r="F23" s="4"/>
      <c r="G23" s="4"/>
    </row>
    <row r="24" spans="1:7" x14ac:dyDescent="0.25">
      <c r="A24" s="14" t="s">
        <v>24</v>
      </c>
      <c r="B24" s="15"/>
      <c r="C24" s="15"/>
      <c r="D24" s="15"/>
      <c r="E24" s="15">
        <f>1300*E22</f>
        <v>67992.032435846791</v>
      </c>
      <c r="F24" s="4">
        <f>E23+E24</f>
        <v>381801.41290898586</v>
      </c>
      <c r="G24" s="4"/>
    </row>
    <row r="25" spans="1:7" x14ac:dyDescent="0.25">
      <c r="A25" s="16"/>
      <c r="B25" s="17"/>
      <c r="C25" s="17"/>
      <c r="D25" s="17"/>
      <c r="E25" s="17"/>
    </row>
    <row r="28" spans="1:7" x14ac:dyDescent="0.25">
      <c r="A28" s="12" t="s">
        <v>25</v>
      </c>
      <c r="B28" s="13" t="s">
        <v>1</v>
      </c>
      <c r="C28" s="13" t="s">
        <v>2</v>
      </c>
      <c r="D28" s="13" t="s">
        <v>3</v>
      </c>
      <c r="E28" s="13" t="s">
        <v>4</v>
      </c>
      <c r="F28" s="13" t="s">
        <v>5</v>
      </c>
      <c r="G28" s="13" t="s">
        <v>6</v>
      </c>
    </row>
    <row r="29" spans="1:7" x14ac:dyDescent="0.25">
      <c r="A29" s="5" t="s">
        <v>7</v>
      </c>
      <c r="B29" s="7">
        <v>56780</v>
      </c>
      <c r="C29" s="7">
        <v>245125</v>
      </c>
      <c r="D29" s="7">
        <v>320000</v>
      </c>
      <c r="E29" s="7">
        <f>SUM(B29:D29)</f>
        <v>621905</v>
      </c>
      <c r="F29" s="7">
        <f>E23</f>
        <v>313809.38047313906</v>
      </c>
      <c r="G29" s="7">
        <f>E29+F29</f>
        <v>935714.380473139</v>
      </c>
    </row>
    <row r="30" spans="1:7" x14ac:dyDescent="0.25">
      <c r="A30" s="5" t="s">
        <v>26</v>
      </c>
      <c r="B30" s="7"/>
      <c r="C30" s="7"/>
      <c r="D30" s="7"/>
      <c r="E30" s="7"/>
      <c r="F30" s="7"/>
      <c r="G30" s="7"/>
    </row>
    <row r="31" spans="1:7" x14ac:dyDescent="0.25">
      <c r="A31" s="5" t="s">
        <v>27</v>
      </c>
      <c r="B31" s="7">
        <v>3950</v>
      </c>
      <c r="C31" s="7">
        <v>3950</v>
      </c>
      <c r="D31" s="7">
        <v>3950</v>
      </c>
      <c r="E31" s="7"/>
      <c r="F31" s="7">
        <v>3950</v>
      </c>
      <c r="G31" s="7"/>
    </row>
    <row r="32" spans="1:7" x14ac:dyDescent="0.25">
      <c r="A32" s="5" t="s">
        <v>71</v>
      </c>
      <c r="B32" s="7">
        <f>1800*0.5</f>
        <v>900</v>
      </c>
      <c r="C32" s="7">
        <f>1800*0.25</f>
        <v>450</v>
      </c>
      <c r="D32" s="7">
        <f>1800*0.4</f>
        <v>720</v>
      </c>
      <c r="E32" s="7"/>
      <c r="F32" s="7">
        <v>1800</v>
      </c>
      <c r="G32" s="7"/>
    </row>
    <row r="33" spans="1:8" x14ac:dyDescent="0.25">
      <c r="A33" s="5" t="s">
        <v>28</v>
      </c>
      <c r="B33" s="7">
        <f>250*1</f>
        <v>250</v>
      </c>
      <c r="C33" s="7">
        <f>0.6*250</f>
        <v>150</v>
      </c>
      <c r="D33" s="7">
        <f>250*0.6</f>
        <v>150</v>
      </c>
      <c r="E33" s="7"/>
      <c r="F33" s="7">
        <v>250</v>
      </c>
      <c r="G33" s="7"/>
    </row>
    <row r="34" spans="1:8" x14ac:dyDescent="0.25">
      <c r="A34" s="5" t="s">
        <v>13</v>
      </c>
      <c r="B34" s="7">
        <f>SUM(B31:B33)</f>
        <v>5100</v>
      </c>
      <c r="C34" s="7">
        <f t="shared" ref="C34" si="10">SUM(C31:C33)</f>
        <v>4550</v>
      </c>
      <c r="D34" s="7">
        <f t="shared" ref="D34" si="11">SUM(D31:D33)</f>
        <v>4820</v>
      </c>
      <c r="E34" s="7"/>
      <c r="F34" s="7">
        <f>F31+F32+F33</f>
        <v>6000</v>
      </c>
      <c r="G34" s="7"/>
    </row>
    <row r="35" spans="1:8" x14ac:dyDescent="0.25">
      <c r="A35" s="5" t="s">
        <v>14</v>
      </c>
      <c r="B35" s="7">
        <f>B34-B33</f>
        <v>4850</v>
      </c>
      <c r="C35" s="7">
        <f t="shared" ref="C35" si="12">C34-C33</f>
        <v>4400</v>
      </c>
      <c r="D35" s="7">
        <f t="shared" ref="D35" si="13">D34-D33</f>
        <v>4670</v>
      </c>
      <c r="E35" s="7"/>
      <c r="F35" s="7">
        <f>F34-F33</f>
        <v>5750</v>
      </c>
      <c r="G35" s="7"/>
    </row>
    <row r="36" spans="1:8" x14ac:dyDescent="0.25">
      <c r="A36" s="5" t="s">
        <v>15</v>
      </c>
      <c r="B36" s="7">
        <f>B29/B34</f>
        <v>11.133333333333333</v>
      </c>
      <c r="C36" s="7">
        <f t="shared" ref="C36:D36" si="14">C29/C34</f>
        <v>53.873626373626372</v>
      </c>
      <c r="D36" s="7">
        <f t="shared" si="14"/>
        <v>66.390041493775939</v>
      </c>
      <c r="E36" s="7">
        <f>B36+C36+D36</f>
        <v>131.39700120073564</v>
      </c>
      <c r="F36" s="7">
        <f>F29/F34</f>
        <v>52.301563412189843</v>
      </c>
      <c r="G36" s="7">
        <f>E36+F36</f>
        <v>183.69856461292548</v>
      </c>
    </row>
    <row r="37" spans="1:8" x14ac:dyDescent="0.25">
      <c r="A37" s="5" t="s">
        <v>12</v>
      </c>
      <c r="B37" s="7">
        <f>B36*B33/B35</f>
        <v>0.57388316151202745</v>
      </c>
      <c r="C37" s="7">
        <f t="shared" ref="C37" si="15">C36*C33/C35</f>
        <v>1.8366008991008989</v>
      </c>
      <c r="D37" s="7">
        <f t="shared" ref="D37" si="16">D36*D33/D35</f>
        <v>2.1324424462668929</v>
      </c>
      <c r="E37" s="7">
        <f>B37+C37+D37</f>
        <v>4.5429265068798195</v>
      </c>
      <c r="F37" s="7">
        <f>F36*F33/F35</f>
        <v>2.2739810179212974</v>
      </c>
      <c r="G37" s="7">
        <f t="shared" ref="G37:G38" si="17">E37+F37</f>
        <v>6.8169075248011168</v>
      </c>
    </row>
    <row r="38" spans="1:8" x14ac:dyDescent="0.25">
      <c r="A38" s="5" t="s">
        <v>16</v>
      </c>
      <c r="B38" s="7">
        <f>B36+B37</f>
        <v>11.70721649484536</v>
      </c>
      <c r="C38" s="7">
        <f t="shared" ref="C38" si="18">C36+C37</f>
        <v>55.710227272727273</v>
      </c>
      <c r="D38" s="7">
        <f t="shared" ref="D38" si="19">D36+D37</f>
        <v>68.522483940042832</v>
      </c>
      <c r="E38" s="7">
        <f t="shared" ref="E38" si="20">E36+E37</f>
        <v>135.93992770761545</v>
      </c>
      <c r="F38" s="7">
        <f>F36+F37</f>
        <v>54.575544430111137</v>
      </c>
      <c r="G38" s="7">
        <f t="shared" si="17"/>
        <v>190.51547213772659</v>
      </c>
    </row>
    <row r="39" spans="1:8" x14ac:dyDescent="0.25">
      <c r="A39" s="5" t="s">
        <v>17</v>
      </c>
      <c r="B39" s="7"/>
      <c r="C39" s="7"/>
      <c r="D39" s="7"/>
      <c r="E39" s="7"/>
      <c r="F39" s="7"/>
      <c r="G39" s="7"/>
    </row>
    <row r="40" spans="1:8" x14ac:dyDescent="0.25">
      <c r="A40" s="5" t="str">
        <f>A31</f>
        <v>3950 Uet</v>
      </c>
      <c r="B40" s="7">
        <f>B31*B38</f>
        <v>46243.50515463917</v>
      </c>
      <c r="C40" s="7">
        <f t="shared" ref="C40:D40" si="21">C31*C38</f>
        <v>220055.39772727274</v>
      </c>
      <c r="D40" s="7">
        <f t="shared" si="21"/>
        <v>270663.81156316918</v>
      </c>
      <c r="E40" s="7">
        <f>B40+C40+D40</f>
        <v>536962.71444508107</v>
      </c>
      <c r="F40" s="7">
        <f>F31*F38</f>
        <v>215573.40049893898</v>
      </c>
      <c r="G40" s="7">
        <f>E40+F40</f>
        <v>752536.11494402005</v>
      </c>
    </row>
    <row r="41" spans="1:8" x14ac:dyDescent="0.25">
      <c r="A41" s="5" t="str">
        <f>A32</f>
        <v>1800 Uec</v>
      </c>
      <c r="B41" s="7">
        <f>B32*B38</f>
        <v>10536.494845360825</v>
      </c>
      <c r="C41" s="7">
        <f t="shared" ref="C41:D41" si="22">C32*C38</f>
        <v>25069.602272727272</v>
      </c>
      <c r="D41" s="7">
        <f t="shared" si="22"/>
        <v>49336.188436830838</v>
      </c>
      <c r="E41" s="7">
        <f>B41+C41+D41</f>
        <v>84942.285554918926</v>
      </c>
      <c r="F41" s="7">
        <f>F32*F38</f>
        <v>98235.979974200047</v>
      </c>
      <c r="G41" s="7">
        <f t="shared" ref="G41:G42" si="23">E41+F41</f>
        <v>183178.26552911897</v>
      </c>
    </row>
    <row r="42" spans="1:8" x14ac:dyDescent="0.25">
      <c r="A42" s="5" t="s">
        <v>18</v>
      </c>
      <c r="B42" s="7">
        <f>B40+B41</f>
        <v>56779.999999999993</v>
      </c>
      <c r="C42" s="7">
        <f t="shared" ref="C42" si="24">C40+C41</f>
        <v>245125</v>
      </c>
      <c r="D42" s="7">
        <f t="shared" ref="D42" si="25">D40+D41</f>
        <v>320000</v>
      </c>
      <c r="E42" s="7">
        <f t="shared" ref="E42" si="26">E40+E41</f>
        <v>621905</v>
      </c>
      <c r="F42" s="7">
        <f>F40+F41</f>
        <v>313809.380473139</v>
      </c>
      <c r="G42" s="7">
        <f t="shared" si="23"/>
        <v>935714.380473139</v>
      </c>
      <c r="H42" s="1">
        <f>G40+G41</f>
        <v>935714.380473139</v>
      </c>
    </row>
    <row r="45" spans="1:8" x14ac:dyDescent="0.25">
      <c r="C45" s="4"/>
      <c r="D45" s="4"/>
    </row>
    <row r="46" spans="1:8" x14ac:dyDescent="0.25">
      <c r="A46" s="18" t="s">
        <v>29</v>
      </c>
      <c r="B46" s="6" t="s">
        <v>32</v>
      </c>
      <c r="C46" s="7">
        <f>G40</f>
        <v>752536.11494402005</v>
      </c>
      <c r="D46" s="4"/>
    </row>
    <row r="47" spans="1:8" x14ac:dyDescent="0.25">
      <c r="A47" s="12" t="s">
        <v>30</v>
      </c>
      <c r="B47" s="6" t="s">
        <v>31</v>
      </c>
      <c r="C47" s="7">
        <f>G38*2700</f>
        <v>514391.77477186179</v>
      </c>
      <c r="D47" s="4"/>
    </row>
    <row r="48" spans="1:8" x14ac:dyDescent="0.25">
      <c r="A48" s="12" t="s">
        <v>33</v>
      </c>
      <c r="B48" s="6" t="s">
        <v>34</v>
      </c>
      <c r="C48" s="7">
        <f>G38*1250</f>
        <v>238144.34017215823</v>
      </c>
      <c r="D48" s="4">
        <f>C47+C48</f>
        <v>752536.11494402005</v>
      </c>
    </row>
    <row r="51" spans="1:8" x14ac:dyDescent="0.25">
      <c r="A51" s="12" t="s">
        <v>57</v>
      </c>
      <c r="B51" s="6"/>
      <c r="D51" s="1" t="s">
        <v>66</v>
      </c>
      <c r="E51" s="4">
        <v>2700</v>
      </c>
      <c r="F51" s="4" t="s">
        <v>65</v>
      </c>
      <c r="G51" s="4">
        <v>247</v>
      </c>
      <c r="H51" s="4"/>
    </row>
    <row r="52" spans="1:8" x14ac:dyDescent="0.25">
      <c r="A52" s="5" t="s">
        <v>58</v>
      </c>
      <c r="B52" s="7">
        <f>E51*G51</f>
        <v>666900</v>
      </c>
      <c r="E52" s="4"/>
      <c r="F52" s="4" t="s">
        <v>67</v>
      </c>
      <c r="G52" s="4">
        <v>20000</v>
      </c>
      <c r="H52" s="4"/>
    </row>
    <row r="53" spans="1:8" x14ac:dyDescent="0.25">
      <c r="A53" s="5" t="s">
        <v>59</v>
      </c>
      <c r="B53" s="7">
        <f>C47</f>
        <v>514391.77477186179</v>
      </c>
      <c r="E53" s="4"/>
      <c r="F53" s="4" t="s">
        <v>68</v>
      </c>
      <c r="G53" s="4">
        <v>125300</v>
      </c>
      <c r="H53" s="4"/>
    </row>
    <row r="54" spans="1:8" x14ac:dyDescent="0.25">
      <c r="A54" s="5" t="s">
        <v>60</v>
      </c>
      <c r="B54" s="7">
        <f>B52-B53</f>
        <v>152508.22522813821</v>
      </c>
    </row>
    <row r="55" spans="1:8" x14ac:dyDescent="0.25">
      <c r="A55" s="5" t="s">
        <v>61</v>
      </c>
      <c r="B55" s="7">
        <f>G52</f>
        <v>20000</v>
      </c>
    </row>
    <row r="56" spans="1:8" x14ac:dyDescent="0.25">
      <c r="A56" s="5" t="s">
        <v>62</v>
      </c>
      <c r="B56" s="7">
        <f>B54-B55</f>
        <v>132508.22522813821</v>
      </c>
    </row>
    <row r="57" spans="1:8" x14ac:dyDescent="0.25">
      <c r="A57" s="5" t="s">
        <v>63</v>
      </c>
      <c r="B57" s="7">
        <f>G53</f>
        <v>125300</v>
      </c>
    </row>
    <row r="58" spans="1:8" x14ac:dyDescent="0.25">
      <c r="A58" s="5" t="s">
        <v>64</v>
      </c>
      <c r="B58" s="7">
        <f>B56-B57</f>
        <v>7208.2252281382098</v>
      </c>
    </row>
  </sheetData>
  <pageMargins left="0.7" right="0.7" top="0.75" bottom="0.75" header="0.3" footer="0.3"/>
  <pageSetup paperSize="9" orientation="portrait" horizontalDpi="4294967295" verticalDpi="4294967295" r:id="rId1"/>
  <ignoredErrors>
    <ignoredError sqref="E36:E37 E40:E41 B55 B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workbookViewId="0">
      <selection activeCell="K18" sqref="K18"/>
    </sheetView>
  </sheetViews>
  <sheetFormatPr baseColWidth="10" defaultRowHeight="15" x14ac:dyDescent="0.25"/>
  <cols>
    <col min="1" max="1" width="42" style="16" customWidth="1"/>
    <col min="2" max="2" width="19" style="17" customWidth="1"/>
    <col min="3" max="7" width="11.7109375" style="17" bestFit="1" customWidth="1"/>
    <col min="8" max="8" width="11.7109375" style="16" bestFit="1" customWidth="1"/>
    <col min="9" max="16384" width="11.42578125" style="16"/>
  </cols>
  <sheetData>
    <row r="1" spans="1:7" x14ac:dyDescent="0.25">
      <c r="A1" s="19" t="s">
        <v>35</v>
      </c>
      <c r="B1" s="20"/>
      <c r="C1" s="20"/>
      <c r="D1" s="20"/>
      <c r="E1" s="20"/>
      <c r="F1" s="20"/>
      <c r="G1" s="20"/>
    </row>
    <row r="2" spans="1:7" x14ac:dyDescent="0.25">
      <c r="A2" s="19" t="s">
        <v>11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7" x14ac:dyDescent="0.25">
      <c r="A3" s="14" t="s">
        <v>37</v>
      </c>
      <c r="B3" s="15">
        <v>282700</v>
      </c>
      <c r="C3" s="15">
        <v>286856</v>
      </c>
      <c r="D3" s="15">
        <v>567125</v>
      </c>
      <c r="E3" s="15">
        <f>SUM(B3:D3)</f>
        <v>1136681</v>
      </c>
      <c r="F3" s="15"/>
      <c r="G3" s="15">
        <f>E3+F3</f>
        <v>1136681</v>
      </c>
    </row>
    <row r="4" spans="1:7" x14ac:dyDescent="0.25">
      <c r="A4" s="14" t="s">
        <v>38</v>
      </c>
      <c r="B4" s="15">
        <f>ENERO!B15</f>
        <v>21596.858638743455</v>
      </c>
      <c r="C4" s="15">
        <f>ENERO!C15</f>
        <v>11582.692307692309</v>
      </c>
      <c r="D4" s="15">
        <f>ENERO!D15</f>
        <v>35509.036144578313</v>
      </c>
      <c r="E4" s="15">
        <f>SUM(B4:D4)</f>
        <v>68688.58709101408</v>
      </c>
      <c r="F4" s="15"/>
      <c r="G4" s="15">
        <f>E4+F4</f>
        <v>68688.58709101408</v>
      </c>
    </row>
    <row r="5" spans="1:7" x14ac:dyDescent="0.25">
      <c r="A5" s="14" t="s">
        <v>39</v>
      </c>
      <c r="B5" s="15">
        <f>B3+B4</f>
        <v>304296.85863874346</v>
      </c>
      <c r="C5" s="15">
        <f t="shared" ref="C5:G5" si="0">C3+C4</f>
        <v>298438.69230769231</v>
      </c>
      <c r="D5" s="15">
        <f t="shared" si="0"/>
        <v>602634.03614457836</v>
      </c>
      <c r="E5" s="15">
        <f t="shared" si="0"/>
        <v>1205369.587091014</v>
      </c>
      <c r="F5" s="15"/>
      <c r="G5" s="15">
        <f t="shared" si="0"/>
        <v>1205369.587091014</v>
      </c>
    </row>
    <row r="6" spans="1:7" x14ac:dyDescent="0.25">
      <c r="A6" s="14" t="s">
        <v>40</v>
      </c>
      <c r="B6" s="15"/>
      <c r="C6" s="15"/>
      <c r="D6" s="15"/>
      <c r="E6" s="15"/>
      <c r="F6" s="15"/>
      <c r="G6" s="15"/>
    </row>
    <row r="7" spans="1:7" x14ac:dyDescent="0.25">
      <c r="A7" s="14" t="s">
        <v>36</v>
      </c>
      <c r="B7" s="15">
        <v>13000</v>
      </c>
      <c r="C7" s="15">
        <v>13000</v>
      </c>
      <c r="D7" s="15">
        <v>13000</v>
      </c>
      <c r="E7" s="15"/>
      <c r="F7" s="15"/>
      <c r="G7" s="15"/>
    </row>
    <row r="8" spans="1:7" x14ac:dyDescent="0.25">
      <c r="A8" s="14" t="s">
        <v>72</v>
      </c>
      <c r="B8" s="15">
        <f>1200*1</f>
        <v>1200</v>
      </c>
      <c r="C8" s="15">
        <f>1200*0.65</f>
        <v>780</v>
      </c>
      <c r="D8" s="15">
        <f>1200*0.8</f>
        <v>960</v>
      </c>
      <c r="E8" s="15"/>
      <c r="F8" s="15"/>
      <c r="G8" s="15"/>
    </row>
    <row r="9" spans="1:7" x14ac:dyDescent="0.25">
      <c r="A9" s="14" t="s">
        <v>41</v>
      </c>
      <c r="B9" s="15">
        <f>300*0.9</f>
        <v>270</v>
      </c>
      <c r="C9" s="15">
        <f>0.7*300</f>
        <v>210</v>
      </c>
      <c r="D9" s="15">
        <f>300*0.7</f>
        <v>210</v>
      </c>
      <c r="E9" s="15"/>
      <c r="F9" s="15"/>
      <c r="G9" s="15"/>
    </row>
    <row r="10" spans="1:7" x14ac:dyDescent="0.25">
      <c r="A10" s="14" t="s">
        <v>13</v>
      </c>
      <c r="B10" s="15">
        <f>SUM(B7:B9)</f>
        <v>14470</v>
      </c>
      <c r="C10" s="15">
        <f t="shared" ref="C10:D10" si="1">SUM(C7:C9)</f>
        <v>13990</v>
      </c>
      <c r="D10" s="15">
        <f t="shared" si="1"/>
        <v>14170</v>
      </c>
      <c r="E10" s="15"/>
      <c r="F10" s="15"/>
      <c r="G10" s="15"/>
    </row>
    <row r="11" spans="1:7" x14ac:dyDescent="0.25">
      <c r="A11" s="14" t="s">
        <v>14</v>
      </c>
      <c r="B11" s="15">
        <f>B10-B9</f>
        <v>14200</v>
      </c>
      <c r="C11" s="15">
        <f t="shared" ref="C11:D11" si="2">C10-C9</f>
        <v>13780</v>
      </c>
      <c r="D11" s="15">
        <f t="shared" si="2"/>
        <v>13960</v>
      </c>
      <c r="E11" s="15"/>
      <c r="F11" s="15"/>
      <c r="G11" s="15"/>
    </row>
    <row r="12" spans="1:7" x14ac:dyDescent="0.25">
      <c r="A12" s="14" t="s">
        <v>15</v>
      </c>
      <c r="B12" s="15">
        <f>B5/B10</f>
        <v>21.029499560383101</v>
      </c>
      <c r="C12" s="15">
        <f t="shared" ref="C12:D12" si="3">C5/C10</f>
        <v>21.332286798262494</v>
      </c>
      <c r="D12" s="15">
        <f t="shared" si="3"/>
        <v>42.528866347535526</v>
      </c>
      <c r="E12" s="15">
        <f>B12+C12+D12</f>
        <v>84.890652706181129</v>
      </c>
      <c r="F12" s="15"/>
      <c r="G12" s="15">
        <f>E12+F12</f>
        <v>84.890652706181129</v>
      </c>
    </row>
    <row r="13" spans="1:7" x14ac:dyDescent="0.25">
      <c r="A13" s="14" t="s">
        <v>12</v>
      </c>
      <c r="B13" s="15">
        <f>B12*B9/B11</f>
        <v>0.39985668178193223</v>
      </c>
      <c r="C13" s="15">
        <f t="shared" ref="C13:D13" si="4">C12*C9/C11</f>
        <v>0.3250929047630714</v>
      </c>
      <c r="D13" s="15">
        <f t="shared" si="4"/>
        <v>0.63976088345146565</v>
      </c>
      <c r="E13" s="15">
        <f>B13+C13+D13</f>
        <v>1.3647104699964694</v>
      </c>
      <c r="F13" s="15"/>
      <c r="G13" s="15">
        <f t="shared" ref="G13:G14" si="5">E13+F13</f>
        <v>1.3647104699964694</v>
      </c>
    </row>
    <row r="14" spans="1:7" x14ac:dyDescent="0.25">
      <c r="A14" s="14" t="s">
        <v>16</v>
      </c>
      <c r="B14" s="15">
        <f>B12+B13</f>
        <v>21.429356242165035</v>
      </c>
      <c r="C14" s="15">
        <f t="shared" ref="C14:E14" si="6">C12+C13</f>
        <v>21.657379703025565</v>
      </c>
      <c r="D14" s="15">
        <f t="shared" si="6"/>
        <v>43.168627230986992</v>
      </c>
      <c r="E14" s="15">
        <f t="shared" si="6"/>
        <v>86.255363176177596</v>
      </c>
      <c r="F14" s="15"/>
      <c r="G14" s="15">
        <f t="shared" si="5"/>
        <v>86.255363176177596</v>
      </c>
    </row>
    <row r="15" spans="1:7" x14ac:dyDescent="0.25">
      <c r="A15" s="14" t="s">
        <v>17</v>
      </c>
      <c r="B15" s="15"/>
      <c r="C15" s="15"/>
      <c r="D15" s="15"/>
      <c r="E15" s="15"/>
      <c r="F15" s="15"/>
      <c r="G15" s="15"/>
    </row>
    <row r="16" spans="1:7" x14ac:dyDescent="0.25">
      <c r="A16" s="14" t="s">
        <v>36</v>
      </c>
      <c r="B16" s="15">
        <f>B7*B14</f>
        <v>278581.63114814548</v>
      </c>
      <c r="C16" s="15">
        <f t="shared" ref="C16:D16" si="7">C7*C14</f>
        <v>281545.93613933236</v>
      </c>
      <c r="D16" s="15">
        <f t="shared" si="7"/>
        <v>561192.15400283085</v>
      </c>
      <c r="E16" s="15">
        <f>B16+C16+D16</f>
        <v>1121319.7212903087</v>
      </c>
      <c r="F16" s="15"/>
      <c r="G16" s="15">
        <f>E16+F16</f>
        <v>1121319.7212903087</v>
      </c>
    </row>
    <row r="17" spans="1:9" x14ac:dyDescent="0.25">
      <c r="A17" s="14" t="s">
        <v>72</v>
      </c>
      <c r="B17" s="15">
        <f>B8*B14</f>
        <v>25715.227490598041</v>
      </c>
      <c r="C17" s="15">
        <f t="shared" ref="C17:D17" si="8">C8*C14</f>
        <v>16892.756168359942</v>
      </c>
      <c r="D17" s="15">
        <f t="shared" si="8"/>
        <v>41441.882141747512</v>
      </c>
      <c r="E17" s="15">
        <f>B17+C17+D17</f>
        <v>84049.865800705491</v>
      </c>
      <c r="F17" s="15"/>
      <c r="G17" s="15">
        <f t="shared" ref="G17:G18" si="9">E17+F17</f>
        <v>84049.865800705491</v>
      </c>
    </row>
    <row r="18" spans="1:9" x14ac:dyDescent="0.25">
      <c r="A18" s="14" t="s">
        <v>18</v>
      </c>
      <c r="B18" s="15">
        <f>B16+B17</f>
        <v>304296.85863874352</v>
      </c>
      <c r="C18" s="15">
        <f t="shared" ref="C18:E18" si="10">C16+C17</f>
        <v>298438.69230769231</v>
      </c>
      <c r="D18" s="15">
        <f t="shared" si="10"/>
        <v>602634.03614457836</v>
      </c>
      <c r="E18" s="15">
        <f t="shared" si="10"/>
        <v>1205369.5870910143</v>
      </c>
      <c r="F18" s="15"/>
      <c r="G18" s="15">
        <f t="shared" si="9"/>
        <v>1205369.5870910143</v>
      </c>
    </row>
    <row r="19" spans="1:9" x14ac:dyDescent="0.25">
      <c r="A19" s="21"/>
      <c r="B19" s="22"/>
      <c r="C19" s="22"/>
      <c r="D19" s="22"/>
      <c r="E19" s="22"/>
      <c r="F19" s="22"/>
      <c r="G19" s="22"/>
    </row>
    <row r="20" spans="1:9" x14ac:dyDescent="0.25">
      <c r="A20" s="19" t="s">
        <v>21</v>
      </c>
      <c r="B20" s="23"/>
      <c r="C20" s="23"/>
      <c r="D20" s="23"/>
      <c r="E20" s="23"/>
    </row>
    <row r="21" spans="1:9" x14ac:dyDescent="0.25">
      <c r="A21" s="14" t="s">
        <v>19</v>
      </c>
      <c r="B21" s="23" t="s">
        <v>1</v>
      </c>
      <c r="C21" s="23" t="s">
        <v>2</v>
      </c>
      <c r="D21" s="23" t="s">
        <v>3</v>
      </c>
      <c r="E21" s="23" t="s">
        <v>4</v>
      </c>
    </row>
    <row r="22" spans="1:9" x14ac:dyDescent="0.25">
      <c r="A22" s="14" t="s">
        <v>42</v>
      </c>
      <c r="B22" s="23"/>
      <c r="C22" s="23"/>
      <c r="D22" s="23"/>
      <c r="E22" s="15">
        <f>ENERO!E24</f>
        <v>67992.032435846791</v>
      </c>
      <c r="F22" s="24"/>
      <c r="G22" s="24"/>
      <c r="H22" s="24"/>
      <c r="I22" s="24"/>
    </row>
    <row r="23" spans="1:9" x14ac:dyDescent="0.25">
      <c r="A23" s="14" t="s">
        <v>36</v>
      </c>
      <c r="B23" s="15">
        <f>B16</f>
        <v>278581.63114814548</v>
      </c>
      <c r="C23" s="15">
        <f>C16</f>
        <v>281545.93613933236</v>
      </c>
      <c r="D23" s="15">
        <f>D16</f>
        <v>561192.15400283085</v>
      </c>
      <c r="E23" s="15">
        <f>B23+C23+D23</f>
        <v>1121319.7212903087</v>
      </c>
      <c r="F23" s="24">
        <f>E22+E23</f>
        <v>1189311.7537261555</v>
      </c>
      <c r="G23" s="24"/>
      <c r="H23" s="24"/>
      <c r="I23" s="24"/>
    </row>
    <row r="24" spans="1:9" x14ac:dyDescent="0.25">
      <c r="A24" s="14" t="s">
        <v>22</v>
      </c>
      <c r="B24" s="15"/>
      <c r="C24" s="15"/>
      <c r="D24" s="15"/>
      <c r="E24" s="15">
        <f>(E22+E23)/(1300+13000)</f>
        <v>83.168654106724162</v>
      </c>
      <c r="F24" s="24"/>
      <c r="G24" s="24"/>
      <c r="H24" s="24"/>
      <c r="I24" s="24"/>
    </row>
    <row r="25" spans="1:9" x14ac:dyDescent="0.25">
      <c r="A25" s="14" t="s">
        <v>43</v>
      </c>
      <c r="B25" s="15"/>
      <c r="C25" s="15"/>
      <c r="D25" s="15"/>
      <c r="E25" s="15">
        <f>E24*13500</f>
        <v>1122776.8304407762</v>
      </c>
      <c r="F25" s="24"/>
      <c r="G25" s="24"/>
      <c r="H25" s="24"/>
      <c r="I25" s="24"/>
    </row>
    <row r="26" spans="1:9" x14ac:dyDescent="0.25">
      <c r="A26" s="14" t="s">
        <v>44</v>
      </c>
      <c r="B26" s="15"/>
      <c r="C26" s="15"/>
      <c r="D26" s="15"/>
      <c r="E26" s="15">
        <f>800*E24</f>
        <v>66534.923285379336</v>
      </c>
      <c r="F26" s="24">
        <f>E25+E26</f>
        <v>1189311.7537261555</v>
      </c>
    </row>
    <row r="30" spans="1:9" x14ac:dyDescent="0.25">
      <c r="A30" s="19" t="s">
        <v>25</v>
      </c>
      <c r="B30" s="20" t="s">
        <v>1</v>
      </c>
      <c r="C30" s="20" t="s">
        <v>2</v>
      </c>
      <c r="D30" s="20" t="s">
        <v>3</v>
      </c>
      <c r="E30" s="20" t="s">
        <v>4</v>
      </c>
      <c r="F30" s="20" t="s">
        <v>5</v>
      </c>
      <c r="G30" s="20" t="s">
        <v>6</v>
      </c>
    </row>
    <row r="31" spans="1:9" x14ac:dyDescent="0.25">
      <c r="A31" s="14" t="s">
        <v>37</v>
      </c>
      <c r="B31" s="15">
        <v>336000</v>
      </c>
      <c r="C31" s="15">
        <v>425000</v>
      </c>
      <c r="D31" s="15">
        <v>487135</v>
      </c>
      <c r="E31" s="15">
        <f>SUM(B31:D31)</f>
        <v>1248135</v>
      </c>
      <c r="F31" s="15">
        <f>E25</f>
        <v>1122776.8304407762</v>
      </c>
      <c r="G31" s="15">
        <f>E31+F31</f>
        <v>2370911.8304407764</v>
      </c>
      <c r="H31" s="24"/>
      <c r="I31" s="24"/>
    </row>
    <row r="32" spans="1:9" x14ac:dyDescent="0.25">
      <c r="A32" s="14" t="s">
        <v>38</v>
      </c>
      <c r="B32" s="15">
        <f>ENERO!B41</f>
        <v>10536.494845360825</v>
      </c>
      <c r="C32" s="15">
        <f>ENERO!C41</f>
        <v>25069.602272727272</v>
      </c>
      <c r="D32" s="15">
        <f>ENERO!D41</f>
        <v>49336.188436830838</v>
      </c>
      <c r="E32" s="15">
        <f>SUM(B32:D32)</f>
        <v>84942.285554918926</v>
      </c>
      <c r="F32" s="15">
        <f>ENERO!F41</f>
        <v>98235.979974200047</v>
      </c>
      <c r="G32" s="15">
        <f>E32+F32</f>
        <v>183178.26552911897</v>
      </c>
      <c r="H32" s="24"/>
      <c r="I32" s="24"/>
    </row>
    <row r="33" spans="1:9" x14ac:dyDescent="0.25">
      <c r="A33" s="14" t="s">
        <v>39</v>
      </c>
      <c r="B33" s="15">
        <f>B31+B32</f>
        <v>346536.49484536081</v>
      </c>
      <c r="C33" s="15">
        <f t="shared" ref="C33:G33" si="11">C31+C32</f>
        <v>450069.60227272729</v>
      </c>
      <c r="D33" s="15">
        <f t="shared" si="11"/>
        <v>536471.18843683088</v>
      </c>
      <c r="E33" s="15">
        <f t="shared" si="11"/>
        <v>1333077.2855549189</v>
      </c>
      <c r="F33" s="15">
        <f t="shared" si="11"/>
        <v>1221012.8104149762</v>
      </c>
      <c r="G33" s="15">
        <f t="shared" si="11"/>
        <v>2554090.0959698954</v>
      </c>
      <c r="H33" s="24"/>
      <c r="I33" s="24"/>
    </row>
    <row r="34" spans="1:9" x14ac:dyDescent="0.25">
      <c r="A34" s="14" t="s">
        <v>45</v>
      </c>
      <c r="B34" s="15"/>
      <c r="C34" s="15"/>
      <c r="D34" s="15"/>
      <c r="E34" s="15"/>
      <c r="F34" s="15"/>
      <c r="G34" s="15"/>
      <c r="H34" s="24"/>
      <c r="I34" s="24"/>
    </row>
    <row r="35" spans="1:9" x14ac:dyDescent="0.25">
      <c r="A35" s="14" t="s">
        <v>46</v>
      </c>
      <c r="B35" s="15">
        <v>6520</v>
      </c>
      <c r="C35" s="15">
        <v>6520</v>
      </c>
      <c r="D35" s="15">
        <v>6520</v>
      </c>
      <c r="E35" s="15"/>
      <c r="F35" s="15">
        <v>6520</v>
      </c>
      <c r="G35" s="15"/>
      <c r="H35" s="24"/>
      <c r="I35" s="24"/>
    </row>
    <row r="36" spans="1:9" x14ac:dyDescent="0.25">
      <c r="A36" s="14" t="s">
        <v>73</v>
      </c>
      <c r="B36" s="15">
        <f>8500*0.25</f>
        <v>2125</v>
      </c>
      <c r="C36" s="15">
        <f>8500*0.4</f>
        <v>3400</v>
      </c>
      <c r="D36" s="15">
        <f>8500*0.65</f>
        <v>5525</v>
      </c>
      <c r="E36" s="15"/>
      <c r="F36" s="15">
        <v>8500</v>
      </c>
      <c r="G36" s="15"/>
      <c r="H36" s="24"/>
      <c r="I36" s="24"/>
    </row>
    <row r="37" spans="1:9" x14ac:dyDescent="0.25">
      <c r="A37" s="14" t="s">
        <v>47</v>
      </c>
      <c r="B37" s="15">
        <f>280*1</f>
        <v>280</v>
      </c>
      <c r="C37" s="15">
        <f>0.32*280</f>
        <v>89.600000000000009</v>
      </c>
      <c r="D37" s="15">
        <f>280*0.32</f>
        <v>89.600000000000009</v>
      </c>
      <c r="E37" s="15"/>
      <c r="F37" s="15">
        <v>280</v>
      </c>
      <c r="G37" s="15"/>
      <c r="H37" s="24"/>
      <c r="I37" s="24"/>
    </row>
    <row r="38" spans="1:9" x14ac:dyDescent="0.25">
      <c r="A38" s="14" t="s">
        <v>13</v>
      </c>
      <c r="B38" s="15">
        <f>SUM(B35:B37)</f>
        <v>8925</v>
      </c>
      <c r="C38" s="15">
        <f t="shared" ref="C38:D38" si="12">SUM(C35:C37)</f>
        <v>10009.6</v>
      </c>
      <c r="D38" s="15">
        <f t="shared" si="12"/>
        <v>12134.6</v>
      </c>
      <c r="E38" s="15"/>
      <c r="F38" s="15">
        <f>F35+F36+F37</f>
        <v>15300</v>
      </c>
      <c r="G38" s="15"/>
      <c r="H38" s="24"/>
      <c r="I38" s="24"/>
    </row>
    <row r="39" spans="1:9" x14ac:dyDescent="0.25">
      <c r="A39" s="14" t="s">
        <v>14</v>
      </c>
      <c r="B39" s="15">
        <f>B38-B37</f>
        <v>8645</v>
      </c>
      <c r="C39" s="15">
        <f t="shared" ref="C39:D39" si="13">C38-C37</f>
        <v>9920</v>
      </c>
      <c r="D39" s="15">
        <f t="shared" si="13"/>
        <v>12045</v>
      </c>
      <c r="E39" s="15"/>
      <c r="F39" s="15">
        <f>F38-F37</f>
        <v>15020</v>
      </c>
      <c r="G39" s="15"/>
      <c r="H39" s="24"/>
      <c r="I39" s="24"/>
    </row>
    <row r="40" spans="1:9" x14ac:dyDescent="0.25">
      <c r="A40" s="14" t="s">
        <v>15</v>
      </c>
      <c r="B40" s="15">
        <f>B33/B38</f>
        <v>38.827618470068437</v>
      </c>
      <c r="C40" s="15">
        <f t="shared" ref="C40:D40" si="14">C33/C38</f>
        <v>44.963794984088004</v>
      </c>
      <c r="D40" s="15">
        <f t="shared" si="14"/>
        <v>44.210043053485968</v>
      </c>
      <c r="E40" s="15">
        <f>B40+C40+D40</f>
        <v>128.00145650764242</v>
      </c>
      <c r="F40" s="15">
        <f>F33/F38</f>
        <v>79.804758850652036</v>
      </c>
      <c r="G40" s="15">
        <f>E40+F40</f>
        <v>207.80621535829445</v>
      </c>
      <c r="H40" s="24"/>
      <c r="I40" s="24"/>
    </row>
    <row r="41" spans="1:9" x14ac:dyDescent="0.25">
      <c r="A41" s="14" t="s">
        <v>12</v>
      </c>
      <c r="B41" s="15">
        <f>B40*B37/B39</f>
        <v>1.257574687289666</v>
      </c>
      <c r="C41" s="15">
        <f t="shared" ref="C41:D41" si="15">C40*C37/C39</f>
        <v>0.4061245998562788</v>
      </c>
      <c r="D41" s="15">
        <f t="shared" si="15"/>
        <v>0.32886839830571546</v>
      </c>
      <c r="E41" s="15">
        <f>B41+C41+D41</f>
        <v>1.9925676854516603</v>
      </c>
      <c r="F41" s="15">
        <f>F40*F37/F39</f>
        <v>1.4877052249122882</v>
      </c>
      <c r="G41" s="15">
        <f t="shared" ref="G41:G42" si="16">E41+F41</f>
        <v>3.4802729103639485</v>
      </c>
      <c r="H41" s="24"/>
      <c r="I41" s="24"/>
    </row>
    <row r="42" spans="1:9" x14ac:dyDescent="0.25">
      <c r="A42" s="14" t="s">
        <v>16</v>
      </c>
      <c r="B42" s="15">
        <f>B40+B41</f>
        <v>40.085193157358106</v>
      </c>
      <c r="C42" s="15">
        <f t="shared" ref="C42:E42" si="17">C40+C41</f>
        <v>45.369919583944281</v>
      </c>
      <c r="D42" s="15">
        <f t="shared" si="17"/>
        <v>44.538911451791684</v>
      </c>
      <c r="E42" s="15">
        <f t="shared" si="17"/>
        <v>129.99402419309408</v>
      </c>
      <c r="F42" s="15">
        <f>F40+F41</f>
        <v>81.292464075564325</v>
      </c>
      <c r="G42" s="15">
        <f t="shared" si="16"/>
        <v>211.28648826865839</v>
      </c>
      <c r="H42" s="24"/>
      <c r="I42" s="24"/>
    </row>
    <row r="43" spans="1:9" x14ac:dyDescent="0.25">
      <c r="A43" s="14" t="s">
        <v>17</v>
      </c>
      <c r="B43" s="15"/>
      <c r="C43" s="15"/>
      <c r="D43" s="15"/>
      <c r="E43" s="15"/>
      <c r="F43" s="15"/>
      <c r="G43" s="15"/>
      <c r="H43" s="24"/>
      <c r="I43" s="24"/>
    </row>
    <row r="44" spans="1:9" x14ac:dyDescent="0.25">
      <c r="A44" s="14" t="str">
        <f>A35</f>
        <v>6520 Uet</v>
      </c>
      <c r="B44" s="15">
        <f>B35*B42</f>
        <v>261355.45938597486</v>
      </c>
      <c r="C44" s="15">
        <f t="shared" ref="C44:D44" si="18">C35*C42</f>
        <v>295811.8756873167</v>
      </c>
      <c r="D44" s="15">
        <f t="shared" si="18"/>
        <v>290393.70266568178</v>
      </c>
      <c r="E44" s="15">
        <f>B44+C44+D44</f>
        <v>847561.03773897327</v>
      </c>
      <c r="F44" s="15">
        <f>F35*F42</f>
        <v>530026.86577267945</v>
      </c>
      <c r="G44" s="15">
        <f>E44+F44</f>
        <v>1377587.9035116527</v>
      </c>
      <c r="H44" s="24"/>
      <c r="I44" s="24"/>
    </row>
    <row r="45" spans="1:9" x14ac:dyDescent="0.25">
      <c r="A45" s="14" t="str">
        <f>A36</f>
        <v>8500 Uec</v>
      </c>
      <c r="B45" s="15">
        <f>B36*B42</f>
        <v>85181.035459385981</v>
      </c>
      <c r="C45" s="15">
        <f t="shared" ref="C45:D45" si="19">C36*C42</f>
        <v>154257.72658541056</v>
      </c>
      <c r="D45" s="15">
        <f t="shared" si="19"/>
        <v>246077.48577114905</v>
      </c>
      <c r="E45" s="15">
        <f>B45+C45+D45</f>
        <v>485516.24781594559</v>
      </c>
      <c r="F45" s="15">
        <f>F36*F42</f>
        <v>690985.94464229676</v>
      </c>
      <c r="G45" s="15">
        <f t="shared" ref="G45:G46" si="20">E45+F45</f>
        <v>1176502.1924582424</v>
      </c>
      <c r="H45" s="24"/>
      <c r="I45" s="24"/>
    </row>
    <row r="46" spans="1:9" x14ac:dyDescent="0.25">
      <c r="A46" s="14" t="s">
        <v>18</v>
      </c>
      <c r="B46" s="15">
        <f>B44+B45</f>
        <v>346536.49484536087</v>
      </c>
      <c r="C46" s="15">
        <f t="shared" ref="C46:E46" si="21">C44+C45</f>
        <v>450069.60227272729</v>
      </c>
      <c r="D46" s="15">
        <f t="shared" si="21"/>
        <v>536471.18843683088</v>
      </c>
      <c r="E46" s="15">
        <f t="shared" si="21"/>
        <v>1333077.2855549189</v>
      </c>
      <c r="F46" s="15">
        <f>F44+F45</f>
        <v>1221012.8104149762</v>
      </c>
      <c r="G46" s="15">
        <f t="shared" si="20"/>
        <v>2554090.0959698949</v>
      </c>
      <c r="H46" s="24">
        <f>G44+G45</f>
        <v>2554090.0959698949</v>
      </c>
      <c r="I46" s="24"/>
    </row>
    <row r="47" spans="1:9" x14ac:dyDescent="0.25">
      <c r="B47" s="24"/>
      <c r="C47" s="24"/>
      <c r="D47" s="24"/>
      <c r="E47" s="24"/>
      <c r="F47" s="24"/>
      <c r="G47" s="24"/>
      <c r="H47" s="24"/>
      <c r="I47" s="24"/>
    </row>
    <row r="48" spans="1:9" x14ac:dyDescent="0.25">
      <c r="B48" s="24"/>
      <c r="C48" s="24"/>
      <c r="D48" s="24"/>
      <c r="E48" s="24"/>
      <c r="F48" s="24"/>
      <c r="G48" s="24"/>
      <c r="H48" s="24"/>
      <c r="I48" s="24"/>
    </row>
    <row r="50" spans="1:7" x14ac:dyDescent="0.25">
      <c r="A50" s="25" t="s">
        <v>29</v>
      </c>
      <c r="B50" s="23" t="s">
        <v>48</v>
      </c>
      <c r="C50" s="15">
        <f>G44</f>
        <v>1377587.9035116527</v>
      </c>
      <c r="D50" s="24"/>
      <c r="E50" s="24"/>
    </row>
    <row r="51" spans="1:7" x14ac:dyDescent="0.25">
      <c r="A51" s="14" t="s">
        <v>30</v>
      </c>
      <c r="B51" s="23"/>
      <c r="C51" s="15"/>
      <c r="D51" s="24"/>
      <c r="E51" s="24"/>
    </row>
    <row r="52" spans="1:7" x14ac:dyDescent="0.25">
      <c r="A52" s="14" t="s">
        <v>49</v>
      </c>
      <c r="B52" s="23" t="str">
        <f>ENERO!B48</f>
        <v>1250 Unidades</v>
      </c>
      <c r="C52" s="15">
        <f>ENERO!C48</f>
        <v>238144.34017215823</v>
      </c>
      <c r="D52" s="24"/>
      <c r="E52" s="24"/>
    </row>
    <row r="53" spans="1:7" x14ac:dyDescent="0.25">
      <c r="A53" s="14" t="s">
        <v>50</v>
      </c>
      <c r="B53" s="23" t="str">
        <f>B50</f>
        <v>6520 Unidades</v>
      </c>
      <c r="C53" s="15">
        <f>C50</f>
        <v>1377587.9035116527</v>
      </c>
      <c r="D53" s="24">
        <f>C52+C53</f>
        <v>1615732.243683811</v>
      </c>
      <c r="E53" s="24"/>
    </row>
    <row r="54" spans="1:7" x14ac:dyDescent="0.25">
      <c r="A54" s="14" t="s">
        <v>22</v>
      </c>
      <c r="B54" s="23"/>
      <c r="C54" s="15">
        <f>(C52+C53)/(1250+6520)</f>
        <v>207.94494770705418</v>
      </c>
      <c r="D54" s="24"/>
      <c r="E54" s="24"/>
    </row>
    <row r="55" spans="1:7" x14ac:dyDescent="0.25">
      <c r="A55" s="14" t="str">
        <f>A51</f>
        <v>Coste de la producción vendida</v>
      </c>
      <c r="B55" s="23" t="s">
        <v>51</v>
      </c>
      <c r="C55" s="15">
        <f>6000*C54</f>
        <v>1247669.686242325</v>
      </c>
      <c r="D55" s="24"/>
      <c r="E55" s="24"/>
    </row>
    <row r="56" spans="1:7" x14ac:dyDescent="0.25">
      <c r="A56" s="14" t="s">
        <v>33</v>
      </c>
      <c r="B56" s="23" t="s">
        <v>52</v>
      </c>
      <c r="C56" s="15">
        <f>1770*C54</f>
        <v>368062.55744148593</v>
      </c>
      <c r="D56" s="24"/>
      <c r="E56" s="24"/>
    </row>
    <row r="57" spans="1:7" x14ac:dyDescent="0.25">
      <c r="C57" s="24">
        <f>C55+C56</f>
        <v>1615732.2436838108</v>
      </c>
      <c r="D57" s="24"/>
      <c r="E57" s="24"/>
    </row>
    <row r="58" spans="1:7" x14ac:dyDescent="0.25">
      <c r="C58" s="24"/>
      <c r="D58" s="24"/>
      <c r="E58" s="24"/>
    </row>
    <row r="62" spans="1:7" x14ac:dyDescent="0.25">
      <c r="A62" s="14" t="s">
        <v>57</v>
      </c>
      <c r="B62" s="23"/>
      <c r="D62" s="17" t="s">
        <v>66</v>
      </c>
      <c r="E62" s="24">
        <v>6000</v>
      </c>
      <c r="F62" s="17" t="s">
        <v>65</v>
      </c>
      <c r="G62" s="24">
        <v>247</v>
      </c>
    </row>
    <row r="63" spans="1:7" x14ac:dyDescent="0.25">
      <c r="A63" s="14" t="s">
        <v>58</v>
      </c>
      <c r="B63" s="15">
        <f>E62*G62</f>
        <v>1482000</v>
      </c>
      <c r="E63" s="24"/>
      <c r="F63" s="17" t="s">
        <v>67</v>
      </c>
      <c r="G63" s="24">
        <v>32800</v>
      </c>
    </row>
    <row r="64" spans="1:7" x14ac:dyDescent="0.25">
      <c r="A64" s="14" t="s">
        <v>59</v>
      </c>
      <c r="B64" s="15">
        <f>C55</f>
        <v>1247669.686242325</v>
      </c>
      <c r="E64" s="24"/>
      <c r="F64" s="17" t="s">
        <v>68</v>
      </c>
      <c r="G64" s="24">
        <v>143250</v>
      </c>
    </row>
    <row r="65" spans="1:2" x14ac:dyDescent="0.25">
      <c r="A65" s="14" t="s">
        <v>60</v>
      </c>
      <c r="B65" s="15">
        <f>B63-B64</f>
        <v>234330.313757675</v>
      </c>
    </row>
    <row r="66" spans="1:2" x14ac:dyDescent="0.25">
      <c r="A66" s="14" t="s">
        <v>61</v>
      </c>
      <c r="B66" s="15">
        <f>G63</f>
        <v>32800</v>
      </c>
    </row>
    <row r="67" spans="1:2" x14ac:dyDescent="0.25">
      <c r="A67" s="14" t="s">
        <v>62</v>
      </c>
      <c r="B67" s="15">
        <f>B65-B66</f>
        <v>201530.313757675</v>
      </c>
    </row>
    <row r="68" spans="1:2" x14ac:dyDescent="0.25">
      <c r="A68" s="14" t="s">
        <v>63</v>
      </c>
      <c r="B68" s="15">
        <f>G64</f>
        <v>143250</v>
      </c>
    </row>
    <row r="69" spans="1:2" x14ac:dyDescent="0.25">
      <c r="A69" s="14" t="s">
        <v>64</v>
      </c>
      <c r="B69" s="15">
        <f>B67-B68</f>
        <v>58280.313757675001</v>
      </c>
    </row>
    <row r="70" spans="1:2" x14ac:dyDescent="0.25">
      <c r="B70" s="24"/>
    </row>
    <row r="71" spans="1:2" x14ac:dyDescent="0.25">
      <c r="B71" s="24"/>
    </row>
  </sheetData>
  <pageMargins left="0.7" right="0.7" top="0.75" bottom="0.75" header="0.3" footer="0.3"/>
  <pageSetup paperSize="9" orientation="portrait" horizontalDpi="4294967295" verticalDpi="4294967295" r:id="rId1"/>
  <ignoredErrors>
    <ignoredError sqref="E40:E41 E44:E45 B66 B6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40" zoomScaleNormal="100" workbookViewId="0">
      <selection activeCell="G50" sqref="G50"/>
    </sheetView>
  </sheetViews>
  <sheetFormatPr baseColWidth="10" defaultRowHeight="15" x14ac:dyDescent="0.25"/>
  <cols>
    <col min="1" max="1" width="42" style="16" customWidth="1"/>
    <col min="2" max="2" width="19" style="17" customWidth="1"/>
    <col min="3" max="7" width="11.42578125" style="17"/>
    <col min="8" max="16384" width="11.42578125" style="16"/>
  </cols>
  <sheetData>
    <row r="1" spans="1:10" x14ac:dyDescent="0.25">
      <c r="A1" s="19" t="s">
        <v>0</v>
      </c>
      <c r="B1" s="20"/>
      <c r="C1" s="20"/>
      <c r="D1" s="20"/>
      <c r="E1" s="20"/>
      <c r="F1" s="20"/>
      <c r="G1" s="20"/>
    </row>
    <row r="2" spans="1:10" x14ac:dyDescent="0.25">
      <c r="A2" s="19" t="s">
        <v>53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I2" s="26" t="s">
        <v>54</v>
      </c>
      <c r="J2" s="27">
        <v>180</v>
      </c>
    </row>
    <row r="3" spans="1:10" x14ac:dyDescent="0.25">
      <c r="A3" s="14" t="s">
        <v>7</v>
      </c>
      <c r="B3" s="15">
        <v>82500</v>
      </c>
      <c r="C3" s="15">
        <v>120460</v>
      </c>
      <c r="D3" s="15">
        <v>235780</v>
      </c>
      <c r="E3" s="15">
        <f>SUM(B3:D3)</f>
        <v>438740</v>
      </c>
      <c r="F3" s="15"/>
      <c r="G3" s="15">
        <f>E3+F3</f>
        <v>438740</v>
      </c>
    </row>
    <row r="4" spans="1:10" x14ac:dyDescent="0.25">
      <c r="A4" s="14" t="s">
        <v>8</v>
      </c>
      <c r="B4" s="15"/>
      <c r="C4" s="15"/>
      <c r="D4" s="15"/>
      <c r="E4" s="15"/>
      <c r="F4" s="15"/>
      <c r="G4" s="15"/>
    </row>
    <row r="5" spans="1:10" x14ac:dyDescent="0.25">
      <c r="A5" s="14" t="s">
        <v>10</v>
      </c>
      <c r="B5" s="15">
        <v>7050</v>
      </c>
      <c r="C5" s="15">
        <v>7050</v>
      </c>
      <c r="D5" s="15">
        <v>7050</v>
      </c>
      <c r="E5" s="15"/>
      <c r="F5" s="15"/>
      <c r="G5" s="15"/>
    </row>
    <row r="6" spans="1:10" x14ac:dyDescent="0.25">
      <c r="A6" s="14" t="s">
        <v>70</v>
      </c>
      <c r="B6" s="15">
        <f>2500*1</f>
        <v>2500</v>
      </c>
      <c r="C6" s="15">
        <f>2500*0.3</f>
        <v>750</v>
      </c>
      <c r="D6" s="15">
        <f>2500*0.5</f>
        <v>1250</v>
      </c>
      <c r="E6" s="15"/>
      <c r="F6" s="15"/>
      <c r="G6" s="15"/>
    </row>
    <row r="7" spans="1:10" x14ac:dyDescent="0.25">
      <c r="A7" s="14" t="s">
        <v>9</v>
      </c>
      <c r="B7" s="15">
        <f>450*1</f>
        <v>450</v>
      </c>
      <c r="C7" s="15">
        <f>0.8*450</f>
        <v>360</v>
      </c>
      <c r="D7" s="15">
        <f>450*0.8</f>
        <v>360</v>
      </c>
      <c r="E7" s="15"/>
      <c r="F7" s="15"/>
      <c r="G7" s="15"/>
    </row>
    <row r="8" spans="1:10" x14ac:dyDescent="0.25">
      <c r="A8" s="14" t="s">
        <v>13</v>
      </c>
      <c r="B8" s="15">
        <f>SUM(B5:B7)</f>
        <v>10000</v>
      </c>
      <c r="C8" s="15">
        <f t="shared" ref="C8:D8" si="0">SUM(C5:C7)</f>
        <v>8160</v>
      </c>
      <c r="D8" s="15">
        <f t="shared" si="0"/>
        <v>8660</v>
      </c>
      <c r="E8" s="15"/>
      <c r="F8" s="15"/>
      <c r="G8" s="15"/>
    </row>
    <row r="9" spans="1:10" x14ac:dyDescent="0.25">
      <c r="A9" s="14" t="s">
        <v>14</v>
      </c>
      <c r="B9" s="15">
        <f>B8-B7</f>
        <v>9550</v>
      </c>
      <c r="C9" s="15">
        <f t="shared" ref="C9:D9" si="1">C8-C7</f>
        <v>7800</v>
      </c>
      <c r="D9" s="15">
        <f t="shared" si="1"/>
        <v>8300</v>
      </c>
      <c r="E9" s="15"/>
      <c r="F9" s="15"/>
      <c r="G9" s="15"/>
    </row>
    <row r="10" spans="1:10" x14ac:dyDescent="0.25">
      <c r="A10" s="14" t="s">
        <v>15</v>
      </c>
      <c r="B10" s="15">
        <f>B3/B8</f>
        <v>8.25</v>
      </c>
      <c r="C10" s="15">
        <f t="shared" ref="C10:D10" si="2">C3/C8</f>
        <v>14.762254901960784</v>
      </c>
      <c r="D10" s="15">
        <f t="shared" si="2"/>
        <v>27.226327944572748</v>
      </c>
      <c r="E10" s="15">
        <f>B10+C10+D10</f>
        <v>50.238582846533532</v>
      </c>
      <c r="F10" s="15"/>
      <c r="G10" s="15">
        <f>E10+F10</f>
        <v>50.238582846533532</v>
      </c>
    </row>
    <row r="11" spans="1:10" x14ac:dyDescent="0.25">
      <c r="A11" s="14" t="s">
        <v>12</v>
      </c>
      <c r="B11" s="15">
        <f>B10*J2/B9</f>
        <v>0.15549738219895287</v>
      </c>
      <c r="C11" s="15">
        <f>C10*J2/C9</f>
        <v>0.34066742081447959</v>
      </c>
      <c r="D11" s="15">
        <f>D10*J2/D9</f>
        <v>0.59045048554495116</v>
      </c>
      <c r="E11" s="15">
        <f>B11+C11+D11</f>
        <v>1.0866152885583835</v>
      </c>
      <c r="F11" s="15"/>
      <c r="G11" s="15">
        <f t="shared" ref="G11:G12" si="3">E11+F11</f>
        <v>1.0866152885583835</v>
      </c>
    </row>
    <row r="12" spans="1:10" x14ac:dyDescent="0.25">
      <c r="A12" s="14" t="s">
        <v>16</v>
      </c>
      <c r="B12" s="15">
        <f>B10+B11</f>
        <v>8.405497382198952</v>
      </c>
      <c r="C12" s="15">
        <f t="shared" ref="C12:E12" si="4">C10+C11</f>
        <v>15.102922322775264</v>
      </c>
      <c r="D12" s="15">
        <f t="shared" si="4"/>
        <v>27.816778430117701</v>
      </c>
      <c r="E12" s="15">
        <f t="shared" si="4"/>
        <v>51.325198135091917</v>
      </c>
      <c r="F12" s="15"/>
      <c r="G12" s="15">
        <f t="shared" si="3"/>
        <v>51.325198135091917</v>
      </c>
    </row>
    <row r="13" spans="1:10" x14ac:dyDescent="0.25">
      <c r="A13" s="14" t="s">
        <v>17</v>
      </c>
      <c r="B13" s="15"/>
      <c r="C13" s="15"/>
      <c r="D13" s="15"/>
      <c r="E13" s="15"/>
      <c r="F13" s="15"/>
      <c r="G13" s="15"/>
    </row>
    <row r="14" spans="1:10" x14ac:dyDescent="0.25">
      <c r="A14" s="14" t="s">
        <v>10</v>
      </c>
      <c r="B14" s="15">
        <f>B5*B12</f>
        <v>59258.756544502612</v>
      </c>
      <c r="C14" s="15">
        <f t="shared" ref="C14:D14" si="5">C5*C12</f>
        <v>106475.60237556561</v>
      </c>
      <c r="D14" s="15">
        <f t="shared" si="5"/>
        <v>196108.28793232978</v>
      </c>
      <c r="E14" s="15">
        <f>B14+C14+D14</f>
        <v>361842.646852398</v>
      </c>
      <c r="F14" s="15"/>
      <c r="G14" s="15">
        <f>E14+F14</f>
        <v>361842.646852398</v>
      </c>
    </row>
    <row r="15" spans="1:10" x14ac:dyDescent="0.25">
      <c r="A15" s="14" t="s">
        <v>70</v>
      </c>
      <c r="B15" s="15">
        <f>B6*B12</f>
        <v>21013.743455497381</v>
      </c>
      <c r="C15" s="15">
        <f t="shared" ref="C15:D15" si="6">C6*C12</f>
        <v>11327.191742081448</v>
      </c>
      <c r="D15" s="15">
        <f t="shared" si="6"/>
        <v>34770.973037647127</v>
      </c>
      <c r="E15" s="15">
        <f>B15+C15+D15</f>
        <v>67111.908235225957</v>
      </c>
      <c r="F15" s="15"/>
      <c r="G15" s="15">
        <f t="shared" ref="G15:G16" si="7">E15+F15</f>
        <v>67111.908235225957</v>
      </c>
    </row>
    <row r="16" spans="1:10" x14ac:dyDescent="0.25">
      <c r="A16" s="14" t="s">
        <v>55</v>
      </c>
      <c r="B16" s="15">
        <f>(B7-J2)*B10</f>
        <v>2227.5</v>
      </c>
      <c r="C16" s="15">
        <f>(C7-J2)*C10</f>
        <v>2657.205882352941</v>
      </c>
      <c r="D16" s="15">
        <f>(D7-J2)*D10</f>
        <v>4900.7390300230945</v>
      </c>
      <c r="E16" s="15">
        <f>B16+C16+D16</f>
        <v>9785.4449123760351</v>
      </c>
      <c r="F16" s="15"/>
      <c r="G16" s="15">
        <f t="shared" si="7"/>
        <v>9785.4449123760351</v>
      </c>
    </row>
    <row r="17" spans="1:10" x14ac:dyDescent="0.25">
      <c r="A17" s="14" t="s">
        <v>18</v>
      </c>
      <c r="B17" s="15">
        <f>B14+B15+B16</f>
        <v>82500</v>
      </c>
      <c r="C17" s="15">
        <f t="shared" ref="C17:G17" si="8">C14+C15+C16</f>
        <v>120459.99999999999</v>
      </c>
      <c r="D17" s="15">
        <f t="shared" si="8"/>
        <v>235780</v>
      </c>
      <c r="E17" s="15">
        <f t="shared" si="8"/>
        <v>438740</v>
      </c>
      <c r="F17" s="15">
        <f t="shared" si="8"/>
        <v>0</v>
      </c>
      <c r="G17" s="15">
        <f t="shared" si="8"/>
        <v>438740</v>
      </c>
    </row>
    <row r="18" spans="1:10" x14ac:dyDescent="0.25">
      <c r="A18" s="21"/>
      <c r="B18" s="22"/>
      <c r="C18" s="22"/>
      <c r="D18" s="22"/>
      <c r="E18" s="22"/>
      <c r="F18" s="22"/>
      <c r="G18" s="22"/>
    </row>
    <row r="19" spans="1:10" x14ac:dyDescent="0.25">
      <c r="A19" s="19" t="s">
        <v>21</v>
      </c>
      <c r="B19" s="23"/>
      <c r="C19" s="23"/>
      <c r="D19" s="23"/>
      <c r="E19" s="23"/>
    </row>
    <row r="20" spans="1:10" x14ac:dyDescent="0.25">
      <c r="A20" s="14" t="s">
        <v>19</v>
      </c>
      <c r="B20" s="23" t="s">
        <v>1</v>
      </c>
      <c r="C20" s="23" t="s">
        <v>2</v>
      </c>
      <c r="D20" s="23" t="s">
        <v>3</v>
      </c>
      <c r="E20" s="23" t="s">
        <v>4</v>
      </c>
    </row>
    <row r="21" spans="1:10" x14ac:dyDescent="0.25">
      <c r="A21" s="14" t="s">
        <v>20</v>
      </c>
      <c r="B21" s="15">
        <v>2000</v>
      </c>
      <c r="C21" s="15">
        <v>3500</v>
      </c>
      <c r="D21" s="15">
        <v>6250</v>
      </c>
      <c r="E21" s="15">
        <f>B21+C21+D21</f>
        <v>11750</v>
      </c>
    </row>
    <row r="22" spans="1:10" x14ac:dyDescent="0.25">
      <c r="A22" s="14" t="s">
        <v>10</v>
      </c>
      <c r="B22" s="15">
        <f>B14</f>
        <v>59258.756544502612</v>
      </c>
      <c r="C22" s="15">
        <f>C14</f>
        <v>106475.60237556561</v>
      </c>
      <c r="D22" s="15">
        <f>D14</f>
        <v>196108.28793232978</v>
      </c>
      <c r="E22" s="15">
        <f>B22+C22+D22</f>
        <v>361842.646852398</v>
      </c>
      <c r="F22" s="17">
        <f>E21+E22</f>
        <v>373592.646852398</v>
      </c>
    </row>
    <row r="23" spans="1:10" x14ac:dyDescent="0.25">
      <c r="A23" s="14" t="s">
        <v>22</v>
      </c>
      <c r="B23" s="15"/>
      <c r="C23" s="15"/>
      <c r="D23" s="15"/>
      <c r="E23" s="15">
        <f>(E21+E22)/(250+7050)</f>
        <v>51.177074911287399</v>
      </c>
    </row>
    <row r="24" spans="1:10" x14ac:dyDescent="0.25">
      <c r="A24" s="14" t="s">
        <v>23</v>
      </c>
      <c r="B24" s="15"/>
      <c r="C24" s="15"/>
      <c r="D24" s="15"/>
      <c r="E24" s="15">
        <f>E23*6000</f>
        <v>307062.44946772436</v>
      </c>
    </row>
    <row r="25" spans="1:10" x14ac:dyDescent="0.25">
      <c r="A25" s="14" t="s">
        <v>24</v>
      </c>
      <c r="B25" s="15"/>
      <c r="C25" s="15"/>
      <c r="D25" s="15"/>
      <c r="E25" s="15">
        <f>1300*E23</f>
        <v>66530.197384673622</v>
      </c>
      <c r="F25" s="17">
        <f>E24+E25</f>
        <v>373592.646852398</v>
      </c>
    </row>
    <row r="29" spans="1:10" x14ac:dyDescent="0.25">
      <c r="A29" s="19" t="s">
        <v>56</v>
      </c>
      <c r="B29" s="20" t="s">
        <v>1</v>
      </c>
      <c r="C29" s="20" t="s">
        <v>2</v>
      </c>
      <c r="D29" s="20" t="s">
        <v>3</v>
      </c>
      <c r="E29" s="20" t="s">
        <v>4</v>
      </c>
      <c r="F29" s="20" t="s">
        <v>5</v>
      </c>
      <c r="G29" s="20" t="s">
        <v>6</v>
      </c>
    </row>
    <row r="30" spans="1:10" x14ac:dyDescent="0.25">
      <c r="A30" s="14" t="s">
        <v>7</v>
      </c>
      <c r="B30" s="15">
        <v>56780</v>
      </c>
      <c r="C30" s="15">
        <v>245125</v>
      </c>
      <c r="D30" s="15">
        <v>320000</v>
      </c>
      <c r="E30" s="15">
        <f>SUM(B30:D30)</f>
        <v>621905</v>
      </c>
      <c r="F30" s="15">
        <f>E24</f>
        <v>307062.44946772436</v>
      </c>
      <c r="G30" s="15">
        <f>E30+F30</f>
        <v>928967.44946772442</v>
      </c>
      <c r="I30" s="26" t="s">
        <v>54</v>
      </c>
      <c r="J30" s="27">
        <v>120</v>
      </c>
    </row>
    <row r="31" spans="1:10" x14ac:dyDescent="0.25">
      <c r="A31" s="14" t="s">
        <v>26</v>
      </c>
      <c r="B31" s="15"/>
      <c r="C31" s="15"/>
      <c r="D31" s="15"/>
      <c r="E31" s="15"/>
      <c r="F31" s="15"/>
      <c r="G31" s="15"/>
    </row>
    <row r="32" spans="1:10" x14ac:dyDescent="0.25">
      <c r="A32" s="14" t="s">
        <v>27</v>
      </c>
      <c r="B32" s="15">
        <v>3950</v>
      </c>
      <c r="C32" s="15">
        <v>3950</v>
      </c>
      <c r="D32" s="15">
        <v>3950</v>
      </c>
      <c r="E32" s="15"/>
      <c r="F32" s="15">
        <v>3950</v>
      </c>
      <c r="G32" s="15"/>
    </row>
    <row r="33" spans="1:8" x14ac:dyDescent="0.25">
      <c r="A33" s="14" t="s">
        <v>71</v>
      </c>
      <c r="B33" s="15">
        <f>1800*0.5</f>
        <v>900</v>
      </c>
      <c r="C33" s="15">
        <f>1800*0.25</f>
        <v>450</v>
      </c>
      <c r="D33" s="15">
        <f>1800*0.4</f>
        <v>720</v>
      </c>
      <c r="E33" s="15"/>
      <c r="F33" s="15">
        <v>1800</v>
      </c>
      <c r="G33" s="15"/>
    </row>
    <row r="34" spans="1:8" x14ac:dyDescent="0.25">
      <c r="A34" s="14" t="s">
        <v>28</v>
      </c>
      <c r="B34" s="15">
        <f>250*1</f>
        <v>250</v>
      </c>
      <c r="C34" s="15">
        <f>0.6*250</f>
        <v>150</v>
      </c>
      <c r="D34" s="15">
        <f>250*0.6</f>
        <v>150</v>
      </c>
      <c r="E34" s="15"/>
      <c r="F34" s="15">
        <v>250</v>
      </c>
      <c r="G34" s="15"/>
    </row>
    <row r="35" spans="1:8" x14ac:dyDescent="0.25">
      <c r="A35" s="14" t="s">
        <v>13</v>
      </c>
      <c r="B35" s="15">
        <f>SUM(B32:B34)</f>
        <v>5100</v>
      </c>
      <c r="C35" s="15">
        <f t="shared" ref="C35:D35" si="9">SUM(C32:C34)</f>
        <v>4550</v>
      </c>
      <c r="D35" s="15">
        <f t="shared" si="9"/>
        <v>4820</v>
      </c>
      <c r="E35" s="15"/>
      <c r="F35" s="15">
        <f>F32+F33+F34</f>
        <v>6000</v>
      </c>
      <c r="G35" s="15"/>
    </row>
    <row r="36" spans="1:8" x14ac:dyDescent="0.25">
      <c r="A36" s="14" t="s">
        <v>14</v>
      </c>
      <c r="B36" s="15">
        <f>B35-B34</f>
        <v>4850</v>
      </c>
      <c r="C36" s="15">
        <f t="shared" ref="C36:D36" si="10">C35-C34</f>
        <v>4400</v>
      </c>
      <c r="D36" s="15">
        <f t="shared" si="10"/>
        <v>4670</v>
      </c>
      <c r="E36" s="15"/>
      <c r="F36" s="15">
        <f>F35-F34</f>
        <v>5750</v>
      </c>
      <c r="G36" s="15"/>
    </row>
    <row r="37" spans="1:8" x14ac:dyDescent="0.25">
      <c r="A37" s="14" t="s">
        <v>15</v>
      </c>
      <c r="B37" s="15">
        <f>B30/B35</f>
        <v>11.133333333333333</v>
      </c>
      <c r="C37" s="15">
        <f t="shared" ref="C37:D37" si="11">C30/C35</f>
        <v>53.873626373626372</v>
      </c>
      <c r="D37" s="15">
        <f t="shared" si="11"/>
        <v>66.390041493775939</v>
      </c>
      <c r="E37" s="15">
        <f>B37+C37+D37</f>
        <v>131.39700120073564</v>
      </c>
      <c r="F37" s="15">
        <f>F30/F35</f>
        <v>51.177074911287392</v>
      </c>
      <c r="G37" s="15">
        <f>E37+F37</f>
        <v>182.57407611202302</v>
      </c>
    </row>
    <row r="38" spans="1:8" x14ac:dyDescent="0.25">
      <c r="A38" s="14" t="s">
        <v>12</v>
      </c>
      <c r="B38" s="15">
        <f>B37*J30/B36</f>
        <v>0.27546391752577321</v>
      </c>
      <c r="C38" s="15">
        <f>C37*J30/C36</f>
        <v>1.4692807192807191</v>
      </c>
      <c r="D38" s="15">
        <f>D37*J30/D36</f>
        <v>1.7059539570135145</v>
      </c>
      <c r="E38" s="15">
        <f>B38+C38+D38</f>
        <v>3.4506985938200065</v>
      </c>
      <c r="F38" s="15">
        <f>F37*J30/F36</f>
        <v>1.0680433024964326</v>
      </c>
      <c r="G38" s="15">
        <f t="shared" ref="G38:G39" si="12">E38+F38</f>
        <v>4.5187418963164392</v>
      </c>
    </row>
    <row r="39" spans="1:8" x14ac:dyDescent="0.25">
      <c r="A39" s="14" t="s">
        <v>16</v>
      </c>
      <c r="B39" s="15">
        <f>B37+B38</f>
        <v>11.408797250859106</v>
      </c>
      <c r="C39" s="15">
        <f t="shared" ref="C39:E39" si="13">C37+C38</f>
        <v>55.34290709290709</v>
      </c>
      <c r="D39" s="15">
        <f t="shared" si="13"/>
        <v>68.095995450789459</v>
      </c>
      <c r="E39" s="15">
        <f t="shared" si="13"/>
        <v>134.84769979455564</v>
      </c>
      <c r="F39" s="15">
        <f>F37+F38</f>
        <v>52.245118213783826</v>
      </c>
      <c r="G39" s="15">
        <f t="shared" si="12"/>
        <v>187.09281800833946</v>
      </c>
    </row>
    <row r="40" spans="1:8" x14ac:dyDescent="0.25">
      <c r="A40" s="14" t="s">
        <v>17</v>
      </c>
      <c r="B40" s="15"/>
      <c r="C40" s="15"/>
      <c r="D40" s="15"/>
      <c r="E40" s="15"/>
      <c r="F40" s="15"/>
      <c r="G40" s="15"/>
    </row>
    <row r="41" spans="1:8" x14ac:dyDescent="0.25">
      <c r="A41" s="14" t="str">
        <f>A32</f>
        <v>3950 Uet</v>
      </c>
      <c r="B41" s="15">
        <f>B32*B39</f>
        <v>45064.749140893466</v>
      </c>
      <c r="C41" s="15">
        <f t="shared" ref="C41:D41" si="14">C32*C39</f>
        <v>218604.48301698299</v>
      </c>
      <c r="D41" s="15">
        <f t="shared" si="14"/>
        <v>268979.18203061837</v>
      </c>
      <c r="E41" s="15">
        <f>B41+C41+D41</f>
        <v>532648.41418849491</v>
      </c>
      <c r="F41" s="15">
        <f>F32*F39</f>
        <v>206368.21694444612</v>
      </c>
      <c r="G41" s="15">
        <f>E41+F41</f>
        <v>739016.63113294099</v>
      </c>
    </row>
    <row r="42" spans="1:8" x14ac:dyDescent="0.25">
      <c r="A42" s="14" t="str">
        <f>A33</f>
        <v>1800 Uec</v>
      </c>
      <c r="B42" s="15">
        <f>B33*B39</f>
        <v>10267.917525773195</v>
      </c>
      <c r="C42" s="15">
        <f t="shared" ref="C42:D42" si="15">C33*C39</f>
        <v>24904.308191808192</v>
      </c>
      <c r="D42" s="15">
        <f t="shared" si="15"/>
        <v>49029.116724568412</v>
      </c>
      <c r="E42" s="15">
        <f>B42+C42+D42</f>
        <v>84201.342442149791</v>
      </c>
      <c r="F42" s="15">
        <f>F33*F39</f>
        <v>94041.212784810894</v>
      </c>
      <c r="G42" s="15">
        <f t="shared" ref="G42:G43" si="16">E42+F42</f>
        <v>178242.55522696069</v>
      </c>
    </row>
    <row r="43" spans="1:8" x14ac:dyDescent="0.25">
      <c r="A43" s="14" t="s">
        <v>55</v>
      </c>
      <c r="B43" s="15">
        <f>(B34-J30)*B37</f>
        <v>1447.3333333333333</v>
      </c>
      <c r="C43" s="15">
        <f>(C34-J30)*C37</f>
        <v>1616.2087912087911</v>
      </c>
      <c r="D43" s="15">
        <f>(D34-J30)*D37</f>
        <v>1991.7012448132782</v>
      </c>
      <c r="E43" s="15">
        <f t="shared" ref="E43" si="17">B43+C43+D43</f>
        <v>5055.243369355403</v>
      </c>
      <c r="F43" s="15">
        <f>(F34-J30)*F37</f>
        <v>6653.0197384673611</v>
      </c>
      <c r="G43" s="15">
        <f t="shared" si="16"/>
        <v>11708.263107822764</v>
      </c>
    </row>
    <row r="44" spans="1:8" x14ac:dyDescent="0.25">
      <c r="A44" s="14" t="s">
        <v>18</v>
      </c>
      <c r="B44" s="15">
        <f>B41+B42+B43</f>
        <v>56779.999999999993</v>
      </c>
      <c r="C44" s="15">
        <f t="shared" ref="C44:G44" si="18">C41+C42+C43</f>
        <v>245125</v>
      </c>
      <c r="D44" s="15">
        <f t="shared" si="18"/>
        <v>320000.00000000006</v>
      </c>
      <c r="E44" s="15">
        <f t="shared" si="18"/>
        <v>621905.00000000012</v>
      </c>
      <c r="F44" s="15">
        <f t="shared" si="18"/>
        <v>307062.44946772436</v>
      </c>
      <c r="G44" s="15">
        <f t="shared" si="18"/>
        <v>928967.44946772442</v>
      </c>
      <c r="H44" s="17">
        <f>G41+G42+G43</f>
        <v>928967.44946772442</v>
      </c>
    </row>
    <row r="48" spans="1:8" x14ac:dyDescent="0.25">
      <c r="A48" s="28" t="s">
        <v>29</v>
      </c>
      <c r="B48" s="23" t="s">
        <v>32</v>
      </c>
      <c r="C48" s="15">
        <f>G41</f>
        <v>739016.63113294099</v>
      </c>
    </row>
    <row r="49" spans="1:7" x14ac:dyDescent="0.25">
      <c r="A49" s="19" t="s">
        <v>30</v>
      </c>
      <c r="B49" s="23" t="s">
        <v>31</v>
      </c>
      <c r="C49" s="15">
        <f>G39*2700</f>
        <v>505150.60862251656</v>
      </c>
    </row>
    <row r="50" spans="1:7" x14ac:dyDescent="0.25">
      <c r="A50" s="19" t="s">
        <v>33</v>
      </c>
      <c r="B50" s="23" t="s">
        <v>34</v>
      </c>
      <c r="C50" s="15">
        <f>G39*1250</f>
        <v>233866.02251042434</v>
      </c>
      <c r="D50" s="17">
        <f>C49+C50</f>
        <v>739016.63113294088</v>
      </c>
    </row>
    <row r="54" spans="1:7" x14ac:dyDescent="0.25">
      <c r="A54" s="19" t="s">
        <v>57</v>
      </c>
      <c r="B54" s="23"/>
      <c r="D54" s="17" t="s">
        <v>66</v>
      </c>
      <c r="E54" s="17">
        <v>2700</v>
      </c>
      <c r="F54" s="17" t="s">
        <v>65</v>
      </c>
      <c r="G54" s="17">
        <v>247</v>
      </c>
    </row>
    <row r="55" spans="1:7" x14ac:dyDescent="0.25">
      <c r="A55" s="14" t="s">
        <v>58</v>
      </c>
      <c r="B55" s="15">
        <f>E54*G54</f>
        <v>666900</v>
      </c>
      <c r="F55" s="17" t="s">
        <v>67</v>
      </c>
      <c r="G55" s="17">
        <v>20000</v>
      </c>
    </row>
    <row r="56" spans="1:7" x14ac:dyDescent="0.25">
      <c r="A56" s="14" t="s">
        <v>59</v>
      </c>
      <c r="B56" s="15">
        <f>C49</f>
        <v>505150.60862251656</v>
      </c>
      <c r="F56" s="17" t="s">
        <v>68</v>
      </c>
      <c r="G56" s="17">
        <v>125300</v>
      </c>
    </row>
    <row r="57" spans="1:7" x14ac:dyDescent="0.25">
      <c r="A57" s="14" t="s">
        <v>60</v>
      </c>
      <c r="B57" s="15">
        <f>B55-B56</f>
        <v>161749.39137748344</v>
      </c>
    </row>
    <row r="58" spans="1:7" x14ac:dyDescent="0.25">
      <c r="A58" s="14" t="s">
        <v>61</v>
      </c>
      <c r="B58" s="15">
        <f>G55</f>
        <v>20000</v>
      </c>
    </row>
    <row r="59" spans="1:7" x14ac:dyDescent="0.25">
      <c r="A59" s="14" t="s">
        <v>62</v>
      </c>
      <c r="B59" s="15">
        <f>B57-B58</f>
        <v>141749.39137748344</v>
      </c>
    </row>
    <row r="60" spans="1:7" x14ac:dyDescent="0.25">
      <c r="A60" s="14" t="s">
        <v>63</v>
      </c>
      <c r="B60" s="15">
        <f>G56</f>
        <v>125300</v>
      </c>
    </row>
    <row r="61" spans="1:7" x14ac:dyDescent="0.25">
      <c r="A61" s="14" t="s">
        <v>69</v>
      </c>
      <c r="B61" s="15">
        <f>B59-B60</f>
        <v>16449.391377483436</v>
      </c>
    </row>
    <row r="62" spans="1:7" x14ac:dyDescent="0.25">
      <c r="A62" s="14" t="s">
        <v>55</v>
      </c>
      <c r="B62" s="15">
        <f>G16+G43</f>
        <v>21493.708020198799</v>
      </c>
    </row>
    <row r="63" spans="1:7" x14ac:dyDescent="0.25">
      <c r="A63" s="14" t="s">
        <v>64</v>
      </c>
      <c r="B63" s="15">
        <f>B61-B62</f>
        <v>-5044.3166427153628</v>
      </c>
    </row>
  </sheetData>
  <pageMargins left="0.7" right="0.7" top="0.75" bottom="0.75" header="0.3" footer="0.3"/>
  <pageSetup paperSize="9" orientation="portrait" r:id="rId1"/>
  <ignoredErrors>
    <ignoredError sqref="E37 E41:E42 B58 B60 B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46" workbookViewId="0">
      <selection activeCell="G62" sqref="G62"/>
    </sheetView>
  </sheetViews>
  <sheetFormatPr baseColWidth="10" defaultRowHeight="15" x14ac:dyDescent="0.25"/>
  <cols>
    <col min="1" max="1" width="42" customWidth="1"/>
    <col min="2" max="2" width="19" style="1" customWidth="1"/>
    <col min="3" max="4" width="11.7109375" style="1" bestFit="1" customWidth="1"/>
    <col min="5" max="5" width="11.85546875" style="1" bestFit="1" customWidth="1"/>
    <col min="6" max="6" width="11.7109375" style="1" bestFit="1" customWidth="1"/>
    <col min="7" max="7" width="11.85546875" style="1" bestFit="1" customWidth="1"/>
  </cols>
  <sheetData>
    <row r="1" spans="1:10" x14ac:dyDescent="0.25">
      <c r="A1" s="19" t="s">
        <v>35</v>
      </c>
      <c r="B1" s="20"/>
      <c r="C1" s="20"/>
      <c r="D1" s="20"/>
      <c r="E1" s="20"/>
      <c r="F1" s="20"/>
      <c r="G1" s="20"/>
    </row>
    <row r="2" spans="1:10" x14ac:dyDescent="0.25">
      <c r="A2" s="19" t="s">
        <v>53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</row>
    <row r="3" spans="1:10" x14ac:dyDescent="0.25">
      <c r="A3" s="14" t="s">
        <v>37</v>
      </c>
      <c r="B3" s="15">
        <v>282700</v>
      </c>
      <c r="C3" s="15">
        <v>286856</v>
      </c>
      <c r="D3" s="15">
        <v>567125</v>
      </c>
      <c r="E3" s="15">
        <f>SUM(B3:D3)</f>
        <v>1136681</v>
      </c>
      <c r="F3" s="15"/>
      <c r="G3" s="15">
        <f>E3+F3</f>
        <v>1136681</v>
      </c>
      <c r="I3" s="2" t="s">
        <v>54</v>
      </c>
      <c r="J3" s="3">
        <v>180</v>
      </c>
    </row>
    <row r="4" spans="1:10" x14ac:dyDescent="0.25">
      <c r="A4" s="14" t="s">
        <v>38</v>
      </c>
      <c r="B4" s="15">
        <f>'ENERO LIMITE DE TOLERANCIA'!B15</f>
        <v>21013.743455497381</v>
      </c>
      <c r="C4" s="15">
        <f>'ENERO LIMITE DE TOLERANCIA'!C15</f>
        <v>11327.191742081448</v>
      </c>
      <c r="D4" s="15">
        <f>'ENERO LIMITE DE TOLERANCIA'!D15</f>
        <v>34770.973037647127</v>
      </c>
      <c r="E4" s="15">
        <f>SUM(B4:D4)</f>
        <v>67111.908235225957</v>
      </c>
      <c r="F4" s="15"/>
      <c r="G4" s="15">
        <f>E4+F4</f>
        <v>67111.908235225957</v>
      </c>
    </row>
    <row r="5" spans="1:10" x14ac:dyDescent="0.25">
      <c r="A5" s="14" t="s">
        <v>39</v>
      </c>
      <c r="B5" s="15">
        <f>B3+B4</f>
        <v>303713.74345549737</v>
      </c>
      <c r="C5" s="15">
        <f t="shared" ref="C5:G5" si="0">C3+C4</f>
        <v>298183.19174208143</v>
      </c>
      <c r="D5" s="15">
        <f t="shared" si="0"/>
        <v>601895.97303764708</v>
      </c>
      <c r="E5" s="15">
        <f t="shared" si="0"/>
        <v>1203792.9082352261</v>
      </c>
      <c r="F5" s="15"/>
      <c r="G5" s="15">
        <f t="shared" si="0"/>
        <v>1203792.9082352261</v>
      </c>
    </row>
    <row r="6" spans="1:10" x14ac:dyDescent="0.25">
      <c r="A6" s="14" t="s">
        <v>40</v>
      </c>
      <c r="B6" s="15"/>
      <c r="C6" s="15"/>
      <c r="D6" s="15"/>
      <c r="E6" s="15"/>
      <c r="F6" s="15"/>
      <c r="G6" s="15"/>
    </row>
    <row r="7" spans="1:10" x14ac:dyDescent="0.25">
      <c r="A7" s="14" t="s">
        <v>36</v>
      </c>
      <c r="B7" s="15">
        <v>13000</v>
      </c>
      <c r="C7" s="15">
        <v>13000</v>
      </c>
      <c r="D7" s="15">
        <v>13000</v>
      </c>
      <c r="E7" s="15"/>
      <c r="F7" s="15"/>
      <c r="G7" s="15"/>
    </row>
    <row r="8" spans="1:10" x14ac:dyDescent="0.25">
      <c r="A8" s="14" t="s">
        <v>72</v>
      </c>
      <c r="B8" s="15">
        <f>1200*1</f>
        <v>1200</v>
      </c>
      <c r="C8" s="15">
        <f>1200*0.65</f>
        <v>780</v>
      </c>
      <c r="D8" s="15">
        <f>1200*0.8</f>
        <v>960</v>
      </c>
      <c r="E8" s="15"/>
      <c r="F8" s="15"/>
      <c r="G8" s="15"/>
    </row>
    <row r="9" spans="1:10" x14ac:dyDescent="0.25">
      <c r="A9" s="14" t="s">
        <v>41</v>
      </c>
      <c r="B9" s="15">
        <f>300*0.9</f>
        <v>270</v>
      </c>
      <c r="C9" s="15">
        <f>0.7*300</f>
        <v>210</v>
      </c>
      <c r="D9" s="15">
        <f>300*0.7</f>
        <v>210</v>
      </c>
      <c r="E9" s="15"/>
      <c r="F9" s="15"/>
      <c r="G9" s="15"/>
    </row>
    <row r="10" spans="1:10" x14ac:dyDescent="0.25">
      <c r="A10" s="14" t="s">
        <v>13</v>
      </c>
      <c r="B10" s="15">
        <f>SUM(B7:B9)</f>
        <v>14470</v>
      </c>
      <c r="C10" s="15">
        <f t="shared" ref="C10:D10" si="1">SUM(C7:C9)</f>
        <v>13990</v>
      </c>
      <c r="D10" s="15">
        <f t="shared" si="1"/>
        <v>14170</v>
      </c>
      <c r="E10" s="15"/>
      <c r="F10" s="15"/>
      <c r="G10" s="15"/>
    </row>
    <row r="11" spans="1:10" x14ac:dyDescent="0.25">
      <c r="A11" s="14" t="s">
        <v>14</v>
      </c>
      <c r="B11" s="15">
        <f>B10-B9</f>
        <v>14200</v>
      </c>
      <c r="C11" s="15">
        <f t="shared" ref="C11:D11" si="2">C10-C9</f>
        <v>13780</v>
      </c>
      <c r="D11" s="15">
        <f t="shared" si="2"/>
        <v>13960</v>
      </c>
      <c r="E11" s="15"/>
      <c r="F11" s="15"/>
      <c r="G11" s="15"/>
    </row>
    <row r="12" spans="1:10" x14ac:dyDescent="0.25">
      <c r="A12" s="14" t="s">
        <v>15</v>
      </c>
      <c r="B12" s="15">
        <f>B5/B10</f>
        <v>20.989201344540248</v>
      </c>
      <c r="C12" s="15">
        <f t="shared" ref="C12:D12" si="3">C5/C10</f>
        <v>21.314023712800672</v>
      </c>
      <c r="D12" s="15">
        <f t="shared" si="3"/>
        <v>42.476780030885465</v>
      </c>
      <c r="E12" s="15">
        <f>B12+C12+D12</f>
        <v>84.780005088226389</v>
      </c>
      <c r="F12" s="15"/>
      <c r="G12" s="15">
        <f>E12+F12</f>
        <v>84.780005088226389</v>
      </c>
    </row>
    <row r="13" spans="1:10" x14ac:dyDescent="0.25">
      <c r="A13" s="14" t="s">
        <v>12</v>
      </c>
      <c r="B13" s="15">
        <f>B12*J3/B11</f>
        <v>0.26606029873360876</v>
      </c>
      <c r="C13" s="15">
        <f>C12*J3/C11</f>
        <v>0.27841250132831069</v>
      </c>
      <c r="D13" s="15">
        <f>D12*J3/D11</f>
        <v>0.54769487145840856</v>
      </c>
      <c r="E13" s="15">
        <f>B13+C13+D13</f>
        <v>1.0921676715203281</v>
      </c>
      <c r="F13" s="15"/>
      <c r="G13" s="15">
        <f t="shared" ref="G13:G14" si="4">E13+F13</f>
        <v>1.0921676715203281</v>
      </c>
    </row>
    <row r="14" spans="1:10" x14ac:dyDescent="0.25">
      <c r="A14" s="14" t="s">
        <v>16</v>
      </c>
      <c r="B14" s="15">
        <f>B12+B13</f>
        <v>21.255261643273858</v>
      </c>
      <c r="C14" s="15">
        <f t="shared" ref="C14:E14" si="5">C12+C13</f>
        <v>21.592436214128984</v>
      </c>
      <c r="D14" s="15">
        <f t="shared" si="5"/>
        <v>43.024474902343876</v>
      </c>
      <c r="E14" s="15">
        <f t="shared" si="5"/>
        <v>85.872172759746718</v>
      </c>
      <c r="F14" s="15"/>
      <c r="G14" s="15">
        <f t="shared" si="4"/>
        <v>85.872172759746718</v>
      </c>
    </row>
    <row r="15" spans="1:10" x14ac:dyDescent="0.25">
      <c r="A15" s="14" t="s">
        <v>17</v>
      </c>
      <c r="B15" s="15"/>
      <c r="C15" s="15"/>
      <c r="D15" s="15"/>
      <c r="E15" s="15"/>
      <c r="F15" s="15"/>
      <c r="G15" s="15"/>
    </row>
    <row r="16" spans="1:10" x14ac:dyDescent="0.25">
      <c r="A16" s="14" t="s">
        <v>36</v>
      </c>
      <c r="B16" s="15">
        <f>B7*B14</f>
        <v>276318.40136256017</v>
      </c>
      <c r="C16" s="15">
        <f t="shared" ref="C16:D16" si="6">C7*C14</f>
        <v>280701.67078367679</v>
      </c>
      <c r="D16" s="15">
        <f t="shared" si="6"/>
        <v>559318.17373047036</v>
      </c>
      <c r="E16" s="15">
        <f>B16+C16+D16</f>
        <v>1116338.2458767071</v>
      </c>
      <c r="F16" s="15"/>
      <c r="G16" s="15">
        <f>E16+F16</f>
        <v>1116338.2458767071</v>
      </c>
    </row>
    <row r="17" spans="1:10" x14ac:dyDescent="0.25">
      <c r="A17" s="14" t="s">
        <v>72</v>
      </c>
      <c r="B17" s="15">
        <f>B8*B14</f>
        <v>25506.31397192863</v>
      </c>
      <c r="C17" s="15">
        <f t="shared" ref="C17:D17" si="7">C8*C14</f>
        <v>16842.100247020608</v>
      </c>
      <c r="D17" s="15">
        <f t="shared" si="7"/>
        <v>41303.495906250122</v>
      </c>
      <c r="E17" s="15">
        <f>B17+C17+D17</f>
        <v>83651.910125199356</v>
      </c>
      <c r="F17" s="15"/>
      <c r="G17" s="15">
        <f t="shared" ref="G17" si="8">E17+F17</f>
        <v>83651.910125199356</v>
      </c>
    </row>
    <row r="18" spans="1:10" x14ac:dyDescent="0.25">
      <c r="A18" s="14" t="s">
        <v>55</v>
      </c>
      <c r="B18" s="15">
        <f>(B9-J3)*B12</f>
        <v>1889.0281210086223</v>
      </c>
      <c r="C18" s="15">
        <f>(C9-J3)*C12</f>
        <v>639.42071138402014</v>
      </c>
      <c r="D18" s="15">
        <f>(D9-J3)*D12</f>
        <v>1274.3034009265639</v>
      </c>
      <c r="E18" s="15">
        <f>B18+C18+D18</f>
        <v>3802.7522333192064</v>
      </c>
      <c r="F18" s="15"/>
      <c r="G18" s="15">
        <f>E18+F18</f>
        <v>3802.7522333192064</v>
      </c>
    </row>
    <row r="19" spans="1:10" x14ac:dyDescent="0.25">
      <c r="A19" s="14" t="s">
        <v>18</v>
      </c>
      <c r="B19" s="15">
        <f>B16+B17+B18</f>
        <v>303713.74345549737</v>
      </c>
      <c r="C19" s="15">
        <f t="shared" ref="C19:G19" si="9">C16+C17+C18</f>
        <v>298183.19174208143</v>
      </c>
      <c r="D19" s="15">
        <f t="shared" si="9"/>
        <v>601895.97303764697</v>
      </c>
      <c r="E19" s="15">
        <f t="shared" si="9"/>
        <v>1203792.9082352256</v>
      </c>
      <c r="F19" s="15"/>
      <c r="G19" s="15">
        <f t="shared" si="9"/>
        <v>1203792.9082352256</v>
      </c>
    </row>
    <row r="20" spans="1:10" x14ac:dyDescent="0.25">
      <c r="A20" s="10"/>
      <c r="B20" s="11"/>
      <c r="C20" s="11"/>
      <c r="D20" s="11"/>
      <c r="E20" s="11"/>
      <c r="F20" s="11"/>
      <c r="G20" s="11"/>
    </row>
    <row r="21" spans="1:10" x14ac:dyDescent="0.25">
      <c r="A21" s="12" t="s">
        <v>21</v>
      </c>
      <c r="B21" s="6"/>
      <c r="C21" s="6"/>
      <c r="D21" s="6"/>
      <c r="E21" s="6"/>
    </row>
    <row r="22" spans="1:10" x14ac:dyDescent="0.25">
      <c r="A22" s="5" t="s">
        <v>19</v>
      </c>
      <c r="B22" s="6" t="s">
        <v>1</v>
      </c>
      <c r="C22" s="6" t="s">
        <v>2</v>
      </c>
      <c r="D22" s="6" t="s">
        <v>3</v>
      </c>
      <c r="E22" s="6" t="s">
        <v>4</v>
      </c>
    </row>
    <row r="23" spans="1:10" x14ac:dyDescent="0.25">
      <c r="A23" s="5" t="s">
        <v>42</v>
      </c>
      <c r="B23" s="7"/>
      <c r="C23" s="7"/>
      <c r="D23" s="7"/>
      <c r="E23" s="7">
        <f>'ENERO LIMITE DE TOLERANCIA'!E25</f>
        <v>66530.197384673622</v>
      </c>
    </row>
    <row r="24" spans="1:10" x14ac:dyDescent="0.25">
      <c r="A24" s="5" t="s">
        <v>36</v>
      </c>
      <c r="B24" s="7">
        <f>B16</f>
        <v>276318.40136256017</v>
      </c>
      <c r="C24" s="7">
        <f>C16</f>
        <v>280701.67078367679</v>
      </c>
      <c r="D24" s="7">
        <f>D16</f>
        <v>559318.17373047036</v>
      </c>
      <c r="E24" s="7">
        <f>B24+C24+D24</f>
        <v>1116338.2458767071</v>
      </c>
      <c r="F24" s="1">
        <f>E23+E24</f>
        <v>1182868.4432613808</v>
      </c>
    </row>
    <row r="25" spans="1:10" x14ac:dyDescent="0.25">
      <c r="A25" s="14" t="s">
        <v>22</v>
      </c>
      <c r="B25" s="7"/>
      <c r="C25" s="7"/>
      <c r="D25" s="7"/>
      <c r="E25" s="15">
        <f>(E23+E24)/(1300+13000)</f>
        <v>82.718072955341313</v>
      </c>
    </row>
    <row r="26" spans="1:10" x14ac:dyDescent="0.25">
      <c r="A26" s="5" t="s">
        <v>43</v>
      </c>
      <c r="B26" s="7"/>
      <c r="C26" s="7"/>
      <c r="D26" s="7"/>
      <c r="E26" s="7">
        <f>E25*13500</f>
        <v>1116693.9848971078</v>
      </c>
    </row>
    <row r="27" spans="1:10" x14ac:dyDescent="0.25">
      <c r="A27" s="5" t="s">
        <v>44</v>
      </c>
      <c r="B27" s="7"/>
      <c r="C27" s="7"/>
      <c r="D27" s="7"/>
      <c r="E27" s="7">
        <f>800*E25</f>
        <v>66174.458364273043</v>
      </c>
      <c r="F27" s="1">
        <f>E26+E27</f>
        <v>1182868.4432613808</v>
      </c>
    </row>
    <row r="31" spans="1:10" x14ac:dyDescent="0.25">
      <c r="A31" s="19" t="s">
        <v>25</v>
      </c>
      <c r="B31" s="20" t="s">
        <v>1</v>
      </c>
      <c r="C31" s="20" t="s">
        <v>2</v>
      </c>
      <c r="D31" s="20" t="s">
        <v>3</v>
      </c>
      <c r="E31" s="20" t="s">
        <v>4</v>
      </c>
      <c r="F31" s="20" t="s">
        <v>5</v>
      </c>
      <c r="G31" s="20" t="s">
        <v>6</v>
      </c>
    </row>
    <row r="32" spans="1:10" x14ac:dyDescent="0.25">
      <c r="A32" s="14" t="s">
        <v>37</v>
      </c>
      <c r="B32" s="15">
        <v>336000</v>
      </c>
      <c r="C32" s="15">
        <v>425000</v>
      </c>
      <c r="D32" s="15">
        <v>487135</v>
      </c>
      <c r="E32" s="15">
        <f>SUM(B32:D32)</f>
        <v>1248135</v>
      </c>
      <c r="F32" s="15">
        <f>E26</f>
        <v>1116693.9848971078</v>
      </c>
      <c r="G32" s="15">
        <f>E32+F32</f>
        <v>2364828.9848971078</v>
      </c>
      <c r="I32" s="2" t="s">
        <v>54</v>
      </c>
      <c r="J32" s="3">
        <v>120</v>
      </c>
    </row>
    <row r="33" spans="1:8" x14ac:dyDescent="0.25">
      <c r="A33" s="14" t="s">
        <v>38</v>
      </c>
      <c r="B33" s="15">
        <f>'ENERO LIMITE DE TOLERANCIA'!B42</f>
        <v>10267.917525773195</v>
      </c>
      <c r="C33" s="15">
        <f>'ENERO LIMITE DE TOLERANCIA'!C42</f>
        <v>24904.308191808192</v>
      </c>
      <c r="D33" s="15">
        <f>'ENERO LIMITE DE TOLERANCIA'!D42</f>
        <v>49029.116724568412</v>
      </c>
      <c r="E33" s="15">
        <f>SUM(B33:D33)</f>
        <v>84201.342442149791</v>
      </c>
      <c r="F33" s="15">
        <f>'ENERO LIMITE DE TOLERANCIA'!F42</f>
        <v>94041.212784810894</v>
      </c>
      <c r="G33" s="15">
        <f>E33+F33</f>
        <v>178242.55522696069</v>
      </c>
    </row>
    <row r="34" spans="1:8" x14ac:dyDescent="0.25">
      <c r="A34" s="14" t="s">
        <v>39</v>
      </c>
      <c r="B34" s="15">
        <f>B32+B33</f>
        <v>346267.91752577317</v>
      </c>
      <c r="C34" s="15">
        <f t="shared" ref="C34:G34" si="10">C32+C33</f>
        <v>449904.30819180817</v>
      </c>
      <c r="D34" s="15">
        <f t="shared" si="10"/>
        <v>536164.11672456842</v>
      </c>
      <c r="E34" s="15">
        <f t="shared" si="10"/>
        <v>1332336.3424421498</v>
      </c>
      <c r="F34" s="15">
        <f t="shared" si="10"/>
        <v>1210735.1976819187</v>
      </c>
      <c r="G34" s="15">
        <f t="shared" si="10"/>
        <v>2543071.5401240685</v>
      </c>
    </row>
    <row r="35" spans="1:8" x14ac:dyDescent="0.25">
      <c r="A35" s="14" t="s">
        <v>45</v>
      </c>
      <c r="B35" s="15"/>
      <c r="C35" s="15"/>
      <c r="D35" s="15"/>
      <c r="E35" s="15"/>
      <c r="F35" s="15"/>
      <c r="G35" s="15"/>
    </row>
    <row r="36" spans="1:8" x14ac:dyDescent="0.25">
      <c r="A36" s="14" t="s">
        <v>46</v>
      </c>
      <c r="B36" s="15">
        <v>6520</v>
      </c>
      <c r="C36" s="15">
        <v>6520</v>
      </c>
      <c r="D36" s="15">
        <v>6520</v>
      </c>
      <c r="E36" s="15"/>
      <c r="F36" s="15">
        <v>6520</v>
      </c>
      <c r="G36" s="15"/>
    </row>
    <row r="37" spans="1:8" x14ac:dyDescent="0.25">
      <c r="A37" s="14" t="s">
        <v>73</v>
      </c>
      <c r="B37" s="15">
        <f>8500*0.25</f>
        <v>2125</v>
      </c>
      <c r="C37" s="15">
        <f>8500*0.4</f>
        <v>3400</v>
      </c>
      <c r="D37" s="15">
        <f>8500*0.65</f>
        <v>5525</v>
      </c>
      <c r="E37" s="15"/>
      <c r="F37" s="15">
        <v>8500</v>
      </c>
      <c r="G37" s="15"/>
    </row>
    <row r="38" spans="1:8" x14ac:dyDescent="0.25">
      <c r="A38" s="14" t="s">
        <v>47</v>
      </c>
      <c r="B38" s="15">
        <f>280*1</f>
        <v>280</v>
      </c>
      <c r="C38" s="15">
        <f>0.32*280</f>
        <v>89.600000000000009</v>
      </c>
      <c r="D38" s="15">
        <f>280*0.32</f>
        <v>89.600000000000009</v>
      </c>
      <c r="E38" s="15"/>
      <c r="F38" s="15">
        <v>280</v>
      </c>
      <c r="G38" s="15"/>
    </row>
    <row r="39" spans="1:8" x14ac:dyDescent="0.25">
      <c r="A39" s="14" t="s">
        <v>13</v>
      </c>
      <c r="B39" s="15">
        <f>SUM(B36:B38)</f>
        <v>8925</v>
      </c>
      <c r="C39" s="15">
        <f t="shared" ref="C39:D39" si="11">SUM(C36:C38)</f>
        <v>10009.6</v>
      </c>
      <c r="D39" s="15">
        <f t="shared" si="11"/>
        <v>12134.6</v>
      </c>
      <c r="E39" s="15"/>
      <c r="F39" s="15">
        <f>F36+F37+F38</f>
        <v>15300</v>
      </c>
      <c r="G39" s="15"/>
    </row>
    <row r="40" spans="1:8" x14ac:dyDescent="0.25">
      <c r="A40" s="14" t="s">
        <v>14</v>
      </c>
      <c r="B40" s="15">
        <f>B39-B38</f>
        <v>8645</v>
      </c>
      <c r="C40" s="15">
        <f t="shared" ref="C40:D40" si="12">C39-C38</f>
        <v>9920</v>
      </c>
      <c r="D40" s="15">
        <f t="shared" si="12"/>
        <v>12045</v>
      </c>
      <c r="E40" s="15"/>
      <c r="F40" s="15">
        <f>F39-F38</f>
        <v>15020</v>
      </c>
      <c r="G40" s="15"/>
    </row>
    <row r="41" spans="1:8" x14ac:dyDescent="0.25">
      <c r="A41" s="14" t="s">
        <v>15</v>
      </c>
      <c r="B41" s="15">
        <f>B34/B39</f>
        <v>38.797525773195872</v>
      </c>
      <c r="C41" s="15">
        <f t="shared" ref="C41:D41" si="13">C34/C39</f>
        <v>44.947281429008967</v>
      </c>
      <c r="D41" s="15">
        <f t="shared" si="13"/>
        <v>44.184737587111925</v>
      </c>
      <c r="E41" s="15">
        <f>B41+C41+D41</f>
        <v>127.92954478931676</v>
      </c>
      <c r="F41" s="15">
        <f>F34/F39</f>
        <v>79.133019456334551</v>
      </c>
      <c r="G41" s="15">
        <f>E41+F41</f>
        <v>207.06256424565132</v>
      </c>
    </row>
    <row r="42" spans="1:8" x14ac:dyDescent="0.25">
      <c r="A42" s="14" t="s">
        <v>12</v>
      </c>
      <c r="B42" s="15">
        <f>B41*J32/B40</f>
        <v>0.53854286787547767</v>
      </c>
      <c r="C42" s="15">
        <f>C41*C38/C40</f>
        <v>0.40597544516524231</v>
      </c>
      <c r="D42" s="15">
        <f>D41*D38/D40</f>
        <v>0.32868015672936729</v>
      </c>
      <c r="E42" s="15">
        <f>B42+C42+D42</f>
        <v>1.2731984697700873</v>
      </c>
      <c r="F42" s="15">
        <f>F41*J32/F40</f>
        <v>0.63222119405859833</v>
      </c>
      <c r="G42" s="15">
        <f t="shared" ref="G42:G43" si="14">E42+F42</f>
        <v>1.9054196638286856</v>
      </c>
    </row>
    <row r="43" spans="1:8" x14ac:dyDescent="0.25">
      <c r="A43" s="14" t="s">
        <v>16</v>
      </c>
      <c r="B43" s="15">
        <f>B41+B42</f>
        <v>39.33606864107135</v>
      </c>
      <c r="C43" s="15">
        <f t="shared" ref="C43:E43" si="15">C41+C42</f>
        <v>45.353256874174207</v>
      </c>
      <c r="D43" s="15">
        <f t="shared" si="15"/>
        <v>44.513417743841295</v>
      </c>
      <c r="E43" s="15">
        <f t="shared" si="15"/>
        <v>129.20274325908684</v>
      </c>
      <c r="F43" s="15">
        <f>F41+F42</f>
        <v>79.765240650393153</v>
      </c>
      <c r="G43" s="15">
        <f t="shared" si="14"/>
        <v>208.96798390947998</v>
      </c>
    </row>
    <row r="44" spans="1:8" x14ac:dyDescent="0.25">
      <c r="A44" s="14" t="s">
        <v>17</v>
      </c>
      <c r="B44" s="15"/>
      <c r="C44" s="15"/>
      <c r="D44" s="15"/>
      <c r="E44" s="15"/>
      <c r="F44" s="15"/>
      <c r="G44" s="15"/>
    </row>
    <row r="45" spans="1:8" x14ac:dyDescent="0.25">
      <c r="A45" s="14" t="str">
        <f>A36</f>
        <v>6520 Uet</v>
      </c>
      <c r="B45" s="15">
        <f>B36*B43</f>
        <v>256471.16753978521</v>
      </c>
      <c r="C45" s="15">
        <f t="shared" ref="C45:D45" si="16">C36*C43</f>
        <v>295703.23481961584</v>
      </c>
      <c r="D45" s="15">
        <f t="shared" si="16"/>
        <v>290227.48368984525</v>
      </c>
      <c r="E45" s="15">
        <f>B45+C45+D45</f>
        <v>842401.88604924642</v>
      </c>
      <c r="F45" s="15">
        <f>F36*F43</f>
        <v>520069.36904056335</v>
      </c>
      <c r="G45" s="15">
        <f>E45+F45</f>
        <v>1362471.2550898097</v>
      </c>
    </row>
    <row r="46" spans="1:8" x14ac:dyDescent="0.25">
      <c r="A46" s="14" t="str">
        <f>A37</f>
        <v>8500 Uec</v>
      </c>
      <c r="B46" s="15">
        <f>B37*B43</f>
        <v>83589.145862276622</v>
      </c>
      <c r="C46" s="15">
        <f t="shared" ref="C46:D46" si="17">C37*C43</f>
        <v>154201.0733721923</v>
      </c>
      <c r="D46" s="15">
        <f t="shared" si="17"/>
        <v>245936.63303472314</v>
      </c>
      <c r="E46" s="15">
        <f>B46+C46+D46</f>
        <v>483726.85226919211</v>
      </c>
      <c r="F46" s="15">
        <f>F37*F43</f>
        <v>678004.54552834178</v>
      </c>
      <c r="G46" s="15">
        <f t="shared" ref="G46" si="18">E46+F46</f>
        <v>1161731.3977975338</v>
      </c>
    </row>
    <row r="47" spans="1:8" x14ac:dyDescent="0.25">
      <c r="A47" s="14" t="s">
        <v>55</v>
      </c>
      <c r="B47" s="15">
        <f>(B38-J32)*B41</f>
        <v>6207.6041237113395</v>
      </c>
      <c r="C47" s="15">
        <v>0</v>
      </c>
      <c r="D47" s="15">
        <v>0</v>
      </c>
      <c r="E47" s="15"/>
      <c r="F47" s="15">
        <f>(F38-J32)*F41</f>
        <v>12661.283113013527</v>
      </c>
      <c r="G47" s="15">
        <f>B47+C47+D47+F47</f>
        <v>18868.887236724866</v>
      </c>
    </row>
    <row r="48" spans="1:8" x14ac:dyDescent="0.25">
      <c r="A48" s="14" t="s">
        <v>18</v>
      </c>
      <c r="B48" s="15">
        <f>B45+B46+B47</f>
        <v>346267.91752577317</v>
      </c>
      <c r="C48" s="15">
        <f t="shared" ref="C48:E48" si="19">C45+C46+C47</f>
        <v>449904.30819180817</v>
      </c>
      <c r="D48" s="15">
        <f t="shared" si="19"/>
        <v>536164.11672456842</v>
      </c>
      <c r="E48" s="15">
        <f t="shared" si="19"/>
        <v>1326128.7383184386</v>
      </c>
      <c r="F48" s="15">
        <f t="shared" ref="F48" si="20">F45+F46+F47</f>
        <v>1210735.1976819187</v>
      </c>
      <c r="G48" s="15">
        <f t="shared" ref="G48" si="21">G45+G46+G47</f>
        <v>2543071.5401240685</v>
      </c>
      <c r="H48" s="1">
        <f>G45+G46+G47</f>
        <v>2543071.5401240685</v>
      </c>
    </row>
    <row r="51" spans="1:7" x14ac:dyDescent="0.25">
      <c r="A51" s="16"/>
      <c r="B51" s="17"/>
      <c r="C51" s="17"/>
    </row>
    <row r="52" spans="1:7" x14ac:dyDescent="0.25">
      <c r="A52" s="28" t="s">
        <v>29</v>
      </c>
      <c r="B52" s="23" t="s">
        <v>48</v>
      </c>
      <c r="C52" s="15">
        <f>G45</f>
        <v>1362471.2550898097</v>
      </c>
    </row>
    <row r="53" spans="1:7" x14ac:dyDescent="0.25">
      <c r="A53" s="19" t="s">
        <v>30</v>
      </c>
      <c r="B53" s="23"/>
      <c r="C53" s="15"/>
    </row>
    <row r="54" spans="1:7" x14ac:dyDescent="0.25">
      <c r="A54" s="19" t="s">
        <v>49</v>
      </c>
      <c r="B54" s="23" t="str">
        <f>ENERO!B48</f>
        <v>1250 Unidades</v>
      </c>
      <c r="C54" s="15">
        <f>'ENERO LIMITE DE TOLERANCIA'!C50</f>
        <v>233866.02251042434</v>
      </c>
    </row>
    <row r="55" spans="1:7" x14ac:dyDescent="0.25">
      <c r="A55" s="19" t="s">
        <v>50</v>
      </c>
      <c r="B55" s="23" t="str">
        <f>B52</f>
        <v>6520 Unidades</v>
      </c>
      <c r="C55" s="15">
        <f>C52</f>
        <v>1362471.2550898097</v>
      </c>
      <c r="D55" s="1">
        <f>C54+C55</f>
        <v>1596337.2776002339</v>
      </c>
    </row>
    <row r="56" spans="1:7" x14ac:dyDescent="0.25">
      <c r="A56" s="19" t="s">
        <v>22</v>
      </c>
      <c r="B56" s="23"/>
      <c r="C56" s="15">
        <f>(C54+C55)/(1250+6520)</f>
        <v>205.44881307596319</v>
      </c>
    </row>
    <row r="57" spans="1:7" x14ac:dyDescent="0.25">
      <c r="A57" s="19" t="str">
        <f>A53</f>
        <v>Coste de la producción vendida</v>
      </c>
      <c r="B57" s="23" t="s">
        <v>51</v>
      </c>
      <c r="C57" s="15">
        <f>6000*C56</f>
        <v>1232692.878455779</v>
      </c>
    </row>
    <row r="58" spans="1:7" x14ac:dyDescent="0.25">
      <c r="A58" s="19" t="s">
        <v>33</v>
      </c>
      <c r="B58" s="23" t="s">
        <v>52</v>
      </c>
      <c r="C58" s="15">
        <f>1770*C56</f>
        <v>363644.39914445486</v>
      </c>
    </row>
    <row r="59" spans="1:7" x14ac:dyDescent="0.25">
      <c r="C59" s="1">
        <f>C57+C58</f>
        <v>1596337.2776002339</v>
      </c>
    </row>
    <row r="63" spans="1:7" x14ac:dyDescent="0.25">
      <c r="A63" s="12" t="s">
        <v>57</v>
      </c>
      <c r="B63" s="6"/>
      <c r="D63" s="1" t="s">
        <v>66</v>
      </c>
      <c r="E63" s="1">
        <v>6000</v>
      </c>
      <c r="F63" s="1" t="s">
        <v>65</v>
      </c>
      <c r="G63" s="1">
        <v>247</v>
      </c>
    </row>
    <row r="64" spans="1:7" x14ac:dyDescent="0.25">
      <c r="A64" s="5" t="s">
        <v>58</v>
      </c>
      <c r="B64" s="29">
        <v>1482000</v>
      </c>
      <c r="F64" s="1" t="s">
        <v>67</v>
      </c>
      <c r="G64" s="1">
        <v>32800</v>
      </c>
    </row>
    <row r="65" spans="1:7" x14ac:dyDescent="0.25">
      <c r="A65" s="5" t="s">
        <v>59</v>
      </c>
      <c r="B65" s="29">
        <v>1232692.8799999999</v>
      </c>
      <c r="F65" s="1" t="s">
        <v>68</v>
      </c>
      <c r="G65" s="1">
        <v>143250</v>
      </c>
    </row>
    <row r="66" spans="1:7" x14ac:dyDescent="0.25">
      <c r="A66" s="5" t="s">
        <v>60</v>
      </c>
      <c r="B66" s="29">
        <v>249307.12</v>
      </c>
    </row>
    <row r="67" spans="1:7" x14ac:dyDescent="0.25">
      <c r="A67" s="5" t="s">
        <v>61</v>
      </c>
      <c r="B67" s="29">
        <v>32800</v>
      </c>
    </row>
    <row r="68" spans="1:7" x14ac:dyDescent="0.25">
      <c r="A68" s="5" t="s">
        <v>62</v>
      </c>
      <c r="B68" s="29">
        <v>216507.12</v>
      </c>
    </row>
    <row r="69" spans="1:7" x14ac:dyDescent="0.25">
      <c r="A69" s="5" t="s">
        <v>63</v>
      </c>
      <c r="B69" s="29">
        <v>143250</v>
      </c>
    </row>
    <row r="70" spans="1:7" x14ac:dyDescent="0.25">
      <c r="A70" s="5" t="s">
        <v>69</v>
      </c>
      <c r="B70" s="29">
        <v>73257.119999999995</v>
      </c>
    </row>
    <row r="71" spans="1:7" x14ac:dyDescent="0.25">
      <c r="A71" s="5" t="s">
        <v>55</v>
      </c>
      <c r="B71" s="29">
        <v>22671.64</v>
      </c>
    </row>
    <row r="72" spans="1:7" x14ac:dyDescent="0.25">
      <c r="A72" s="5" t="s">
        <v>64</v>
      </c>
      <c r="B72" s="29">
        <v>50585.48</v>
      </c>
    </row>
  </sheetData>
  <pageMargins left="0.7" right="0.7" top="0.75" bottom="0.75" header="0.3" footer="0.3"/>
  <ignoredErrors>
    <ignoredError sqref="E41 E45:E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ENERO LIMITE DE TOLERANCIA</vt:lpstr>
      <vt:lpstr>FEBRERO LIMITE DE TOLERANCIA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PEREZ MOROTE</dc:creator>
  <cp:lastModifiedBy>Usuario</cp:lastModifiedBy>
  <dcterms:created xsi:type="dcterms:W3CDTF">2015-01-08T12:31:33Z</dcterms:created>
  <dcterms:modified xsi:type="dcterms:W3CDTF">2015-02-11T21:02:40Z</dcterms:modified>
</cp:coreProperties>
</file>