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24915" windowHeight="12840" activeTab="5"/>
  </bookViews>
  <sheets>
    <sheet name="Datos" sheetId="2" r:id="rId1"/>
    <sheet name="Dpto I" sheetId="1" r:id="rId2"/>
    <sheet name="Dpto II" sheetId="4" r:id="rId3"/>
    <sheet name="Dpto III" sheetId="5" r:id="rId4"/>
    <sheet name="Cocina" sheetId="3" r:id="rId5"/>
    <sheet name="Cuenta de rdos" sheetId="6" r:id="rId6"/>
  </sheets>
  <calcPr calcId="145621"/>
</workbook>
</file>

<file path=xl/calcChain.xml><?xml version="1.0" encoding="utf-8"?>
<calcChain xmlns="http://schemas.openxmlformats.org/spreadsheetml/2006/main">
  <c r="L20" i="2" l="1"/>
  <c r="L19" i="2"/>
  <c r="C3" i="6"/>
  <c r="B13" i="3"/>
  <c r="C85" i="2"/>
  <c r="B71" i="2"/>
  <c r="B75" i="2"/>
  <c r="B65" i="2"/>
  <c r="B62" i="2"/>
  <c r="B48" i="2"/>
  <c r="E34" i="2"/>
  <c r="B3" i="6" l="1"/>
  <c r="C13" i="3"/>
  <c r="B7" i="3"/>
  <c r="F21" i="5"/>
  <c r="E4" i="5"/>
  <c r="D4" i="5"/>
  <c r="C4" i="5"/>
  <c r="B10" i="5"/>
  <c r="G10" i="5" s="1"/>
  <c r="B9" i="5"/>
  <c r="G9" i="5" s="1"/>
  <c r="B8" i="5"/>
  <c r="G8" i="5" s="1"/>
  <c r="B7" i="5"/>
  <c r="C7" i="5" s="1"/>
  <c r="B6" i="5"/>
  <c r="E6" i="5" s="1"/>
  <c r="B2" i="5"/>
  <c r="D4" i="4"/>
  <c r="C4" i="4"/>
  <c r="B2" i="4"/>
  <c r="B9" i="4"/>
  <c r="F9" i="4" s="1"/>
  <c r="B8" i="4"/>
  <c r="F8" i="4" s="1"/>
  <c r="B7" i="4"/>
  <c r="C7" i="4" s="1"/>
  <c r="B6" i="4"/>
  <c r="D6" i="4" s="1"/>
  <c r="B2" i="1"/>
  <c r="E4" i="1"/>
  <c r="D4" i="1"/>
  <c r="C4" i="1"/>
  <c r="B9" i="1"/>
  <c r="C9" i="1" s="1"/>
  <c r="B8" i="1"/>
  <c r="C8" i="1" s="1"/>
  <c r="B7" i="1"/>
  <c r="E7" i="1" s="1"/>
  <c r="B6" i="1"/>
  <c r="B51" i="2"/>
  <c r="B56" i="2" s="1"/>
  <c r="B10" i="4" s="1"/>
  <c r="C5" i="3" s="1"/>
  <c r="B40" i="2"/>
  <c r="B10" i="1" s="1"/>
  <c r="C4" i="3" s="1"/>
  <c r="D6" i="5" l="1"/>
  <c r="C6" i="4"/>
  <c r="B30" i="1"/>
  <c r="C6" i="1"/>
  <c r="F4" i="5"/>
  <c r="E7" i="5"/>
  <c r="F4" i="1"/>
  <c r="E9" i="1"/>
  <c r="C10" i="5"/>
  <c r="C6" i="3"/>
  <c r="D7" i="3" s="1"/>
  <c r="B11" i="3" s="1"/>
  <c r="B12" i="3" s="1"/>
  <c r="B14" i="3" s="1"/>
  <c r="D10" i="4"/>
  <c r="C10" i="4"/>
  <c r="F10" i="4"/>
  <c r="E10" i="1"/>
  <c r="C10" i="1"/>
  <c r="D10" i="1"/>
  <c r="D9" i="1"/>
  <c r="E8" i="1"/>
  <c r="F7" i="4"/>
  <c r="D9" i="4"/>
  <c r="C6" i="5"/>
  <c r="D7" i="5"/>
  <c r="D8" i="5"/>
  <c r="E9" i="5"/>
  <c r="B30" i="5"/>
  <c r="C8" i="4"/>
  <c r="C11" i="4" s="1"/>
  <c r="C12" i="4" s="1"/>
  <c r="E8" i="5"/>
  <c r="C7" i="1"/>
  <c r="C11" i="1" s="1"/>
  <c r="D6" i="1"/>
  <c r="E6" i="1"/>
  <c r="E11" i="1" s="1"/>
  <c r="D8" i="1"/>
  <c r="D8" i="4"/>
  <c r="G7" i="5"/>
  <c r="G11" i="5" s="1"/>
  <c r="G12" i="5" s="1"/>
  <c r="C9" i="5"/>
  <c r="D10" i="5"/>
  <c r="D7" i="1"/>
  <c r="C9" i="4"/>
  <c r="C8" i="5"/>
  <c r="D9" i="5"/>
  <c r="E10" i="5"/>
  <c r="E4" i="4"/>
  <c r="D7" i="4"/>
  <c r="B30" i="4"/>
  <c r="D3" i="6" l="1"/>
  <c r="D11" i="5"/>
  <c r="D12" i="5" s="1"/>
  <c r="D11" i="1"/>
  <c r="D13" i="1" s="1"/>
  <c r="D20" i="1" s="1"/>
  <c r="E11" i="5"/>
  <c r="E12" i="5" s="1"/>
  <c r="F11" i="4"/>
  <c r="F12" i="4" s="1"/>
  <c r="C12" i="1"/>
  <c r="C13" i="1"/>
  <c r="C20" i="1" s="1"/>
  <c r="E13" i="1"/>
  <c r="E12" i="1"/>
  <c r="C11" i="5"/>
  <c r="C14" i="1"/>
  <c r="D11" i="4"/>
  <c r="C13" i="4"/>
  <c r="D12" i="1" l="1"/>
  <c r="D14" i="1" s="1"/>
  <c r="D15" i="1" s="1"/>
  <c r="D18" i="1" s="1"/>
  <c r="F13" i="1"/>
  <c r="D21" i="1"/>
  <c r="C12" i="5"/>
  <c r="C13" i="5"/>
  <c r="E14" i="1"/>
  <c r="E15" i="1" s="1"/>
  <c r="E20" i="1"/>
  <c r="F20" i="1" s="1"/>
  <c r="B9" i="6" s="1"/>
  <c r="D13" i="5"/>
  <c r="E13" i="5"/>
  <c r="C20" i="4"/>
  <c r="C14" i="4"/>
  <c r="C15" i="4" s="1"/>
  <c r="C15" i="1"/>
  <c r="D12" i="4"/>
  <c r="D13" i="4"/>
  <c r="F14" i="1" l="1"/>
  <c r="D19" i="1"/>
  <c r="D17" i="1"/>
  <c r="D22" i="1" s="1"/>
  <c r="E21" i="1"/>
  <c r="E17" i="1"/>
  <c r="E18" i="1"/>
  <c r="E19" i="1"/>
  <c r="E20" i="5"/>
  <c r="E14" i="5"/>
  <c r="E15" i="5" s="1"/>
  <c r="C14" i="5"/>
  <c r="C15" i="5" s="1"/>
  <c r="C20" i="5"/>
  <c r="D14" i="4"/>
  <c r="D20" i="4"/>
  <c r="E20" i="4" s="1"/>
  <c r="D14" i="5"/>
  <c r="D20" i="5"/>
  <c r="F13" i="5"/>
  <c r="C17" i="1"/>
  <c r="F15" i="1"/>
  <c r="C18" i="1"/>
  <c r="C19" i="1"/>
  <c r="C21" i="1"/>
  <c r="C17" i="4"/>
  <c r="C21" i="4"/>
  <c r="C18" i="4"/>
  <c r="C19" i="4"/>
  <c r="E13" i="4"/>
  <c r="D15" i="4"/>
  <c r="F21" i="1" l="1"/>
  <c r="B4" i="3" s="1"/>
  <c r="F19" i="1"/>
  <c r="F18" i="1"/>
  <c r="B28" i="1" s="1"/>
  <c r="C18" i="5"/>
  <c r="C17" i="5"/>
  <c r="C19" i="5"/>
  <c r="E22" i="1"/>
  <c r="F20" i="5"/>
  <c r="F14" i="5"/>
  <c r="D15" i="5"/>
  <c r="E17" i="5"/>
  <c r="E18" i="5"/>
  <c r="E19" i="5"/>
  <c r="F17" i="1"/>
  <c r="C22" i="1"/>
  <c r="E14" i="4"/>
  <c r="D21" i="4"/>
  <c r="D18" i="4"/>
  <c r="D19" i="4"/>
  <c r="E19" i="4" s="1"/>
  <c r="D17" i="4"/>
  <c r="C22" i="4"/>
  <c r="C22" i="5" l="1"/>
  <c r="D18" i="5"/>
  <c r="F18" i="5" s="1"/>
  <c r="F15" i="5"/>
  <c r="D19" i="5"/>
  <c r="F19" i="5" s="1"/>
  <c r="D17" i="5"/>
  <c r="F17" i="5" s="1"/>
  <c r="E22" i="5"/>
  <c r="B27" i="1"/>
  <c r="B29" i="1" s="1"/>
  <c r="F22" i="1"/>
  <c r="D22" i="4"/>
  <c r="E15" i="4"/>
  <c r="E18" i="4"/>
  <c r="E21" i="4"/>
  <c r="D22" i="5" l="1"/>
  <c r="F22" i="5"/>
  <c r="F4" i="4"/>
  <c r="B31" i="1"/>
  <c r="E17" i="4"/>
  <c r="G4" i="4" l="1"/>
  <c r="F13" i="4"/>
  <c r="E22" i="4"/>
  <c r="F14" i="4" l="1"/>
  <c r="G14" i="4" s="1"/>
  <c r="G13" i="4"/>
  <c r="F20" i="4"/>
  <c r="G20" i="4" s="1"/>
  <c r="B10" i="6" s="1"/>
  <c r="F15" i="4" l="1"/>
  <c r="F19" i="4" s="1"/>
  <c r="G19" i="4" s="1"/>
  <c r="G15" i="4" l="1"/>
  <c r="F21" i="4"/>
  <c r="G21" i="4" s="1"/>
  <c r="B5" i="3" s="1"/>
  <c r="F18" i="4"/>
  <c r="G18" i="4" s="1"/>
  <c r="B28" i="4" s="1"/>
  <c r="F17" i="4"/>
  <c r="G17" i="4" s="1"/>
  <c r="B27" i="4" s="1"/>
  <c r="B29" i="4" l="1"/>
  <c r="G4" i="5" s="1"/>
  <c r="F22" i="4"/>
  <c r="G22" i="4" s="1"/>
  <c r="B31" i="4"/>
  <c r="H4" i="5" l="1"/>
  <c r="G13" i="5"/>
  <c r="G20" i="5" s="1"/>
  <c r="H20" i="5" s="1"/>
  <c r="B11" i="6" s="1"/>
  <c r="H13" i="5" l="1"/>
  <c r="G14" i="5"/>
  <c r="H14" i="5" s="1"/>
  <c r="G15" i="5" l="1"/>
  <c r="G17" i="5" s="1"/>
  <c r="G21" i="5" l="1"/>
  <c r="H21" i="5" s="1"/>
  <c r="B6" i="3" s="1"/>
  <c r="B9" i="3" s="1"/>
  <c r="B16" i="3" s="1"/>
  <c r="G19" i="5"/>
  <c r="H19" i="5" s="1"/>
  <c r="H15" i="5"/>
  <c r="G18" i="5"/>
  <c r="H18" i="5" s="1"/>
  <c r="B28" i="5" s="1"/>
  <c r="H17" i="5"/>
  <c r="C5" i="6" l="1"/>
  <c r="C4" i="6"/>
  <c r="G22" i="5"/>
  <c r="H22" i="5" s="1"/>
  <c r="B27" i="5"/>
  <c r="B29" i="5" s="1"/>
  <c r="B31" i="5" s="1"/>
  <c r="B4" i="6" s="1"/>
  <c r="D4" i="6" l="1"/>
  <c r="D5" i="6" s="1"/>
  <c r="B5" i="6"/>
</calcChain>
</file>

<file path=xl/sharedStrings.xml><?xml version="1.0" encoding="utf-8"?>
<sst xmlns="http://schemas.openxmlformats.org/spreadsheetml/2006/main" count="231" uniqueCount="91">
  <si>
    <t>INVENTARIOS EN CURSO DE FABRICACIÓN</t>
  </si>
  <si>
    <t>DEPARTAMENTO I</t>
  </si>
  <si>
    <t>Nº de unidades</t>
  </si>
  <si>
    <t>Valor unitario mm.pp</t>
  </si>
  <si>
    <t>Valor MOD</t>
  </si>
  <si>
    <t>Valor CIF</t>
  </si>
  <si>
    <t>% coste incorporado</t>
  </si>
  <si>
    <t>DEPARTAMENTO II</t>
  </si>
  <si>
    <t>Valor CDA</t>
  </si>
  <si>
    <t>DEPARTAMENTO III</t>
  </si>
  <si>
    <t>PRODUCCIÓN DEL PERIODO</t>
  </si>
  <si>
    <t>Unidades iniciadas</t>
  </si>
  <si>
    <t>COSTES DEL PERIODO</t>
  </si>
  <si>
    <t>Materias Primas</t>
  </si>
  <si>
    <t>Mano de Obra</t>
  </si>
  <si>
    <t>Costes indirectos fabricación</t>
  </si>
  <si>
    <t>Unidades en curso</t>
  </si>
  <si>
    <t>Unidades terminadas</t>
  </si>
  <si>
    <t>MM.PP.</t>
  </si>
  <si>
    <t>MOD</t>
  </si>
  <si>
    <t>CIF</t>
  </si>
  <si>
    <t>Unidades recuperadas</t>
  </si>
  <si>
    <t>Unidades perdidas</t>
  </si>
  <si>
    <t>Unidades iniciadas (botes)</t>
  </si>
  <si>
    <t>Materias Primas (coste del bote)</t>
  </si>
  <si>
    <t>Concepto</t>
  </si>
  <si>
    <t>MMPP</t>
  </si>
  <si>
    <t>TOTAL</t>
  </si>
  <si>
    <t>Costes</t>
  </si>
  <si>
    <t>Unidades:</t>
  </si>
  <si>
    <r>
      <t>U</t>
    </r>
    <r>
      <rPr>
        <vertAlign val="subscript"/>
        <sz val="9"/>
        <color theme="1"/>
        <rFont val="Times New Roman"/>
        <family val="1"/>
      </rPr>
      <t>EQUIVALENTES</t>
    </r>
  </si>
  <si>
    <t>C. U. P.</t>
  </si>
  <si>
    <t xml:space="preserve">C.A.U.P. </t>
  </si>
  <si>
    <t>C.U. rectif.</t>
  </si>
  <si>
    <t>Valoración:</t>
  </si>
  <si>
    <r>
      <t>U</t>
    </r>
    <r>
      <rPr>
        <vertAlign val="subscript"/>
        <sz val="9"/>
        <color theme="1"/>
        <rFont val="Times New Roman"/>
        <family val="1"/>
      </rPr>
      <t>CT</t>
    </r>
  </si>
  <si>
    <r>
      <t>U</t>
    </r>
    <r>
      <rPr>
        <vertAlign val="subscript"/>
        <sz val="9"/>
        <color theme="1"/>
        <rFont val="Times New Roman"/>
        <family val="1"/>
      </rPr>
      <t>ET</t>
    </r>
  </si>
  <si>
    <r>
      <t>U</t>
    </r>
    <r>
      <rPr>
        <vertAlign val="subscript"/>
        <sz val="9"/>
        <color theme="1"/>
        <rFont val="Times New Roman"/>
        <family val="1"/>
      </rPr>
      <t>EC</t>
    </r>
  </si>
  <si>
    <r>
      <t>U</t>
    </r>
    <r>
      <rPr>
        <vertAlign val="subscript"/>
        <sz val="9"/>
        <color theme="1"/>
        <rFont val="Times New Roman"/>
        <family val="1"/>
      </rPr>
      <t>PDAS</t>
    </r>
    <r>
      <rPr>
        <sz val="9"/>
        <color theme="1"/>
        <rFont val="Times New Roman"/>
        <family val="1"/>
      </rPr>
      <t xml:space="preserve"> </t>
    </r>
  </si>
  <si>
    <r>
      <t>U</t>
    </r>
    <r>
      <rPr>
        <vertAlign val="subscript"/>
        <sz val="9"/>
        <color theme="1"/>
        <rFont val="Times New Roman"/>
        <family val="1"/>
      </rPr>
      <t>COC.</t>
    </r>
    <r>
      <rPr>
        <sz val="9"/>
        <color theme="1"/>
        <rFont val="Times New Roman"/>
        <family val="1"/>
      </rPr>
      <t xml:space="preserve"> </t>
    </r>
  </si>
  <si>
    <t>Límite de tolerancia</t>
  </si>
  <si>
    <t>UNIDADES FÍSICAS</t>
  </si>
  <si>
    <r>
      <t>U</t>
    </r>
    <r>
      <rPr>
        <vertAlign val="subscript"/>
        <sz val="9"/>
        <color theme="1"/>
        <rFont val="Times New Roman"/>
        <family val="1"/>
      </rPr>
      <t>PDAS</t>
    </r>
  </si>
  <si>
    <r>
      <t>U</t>
    </r>
    <r>
      <rPr>
        <vertAlign val="subscript"/>
        <sz val="9"/>
        <color theme="1"/>
        <rFont val="Times New Roman"/>
        <family val="1"/>
      </rPr>
      <t>COC.</t>
    </r>
  </si>
  <si>
    <t>Límite tolerancia</t>
  </si>
  <si>
    <t>P. neta</t>
  </si>
  <si>
    <t>Coste de fabricación unidades terminadas que pasan al departamento II</t>
  </si>
  <si>
    <t>UCT</t>
  </si>
  <si>
    <t>UET</t>
  </si>
  <si>
    <t>TOTAL COSTE</t>
  </si>
  <si>
    <t>Total unidades</t>
  </si>
  <si>
    <t>Costes unitario</t>
  </si>
  <si>
    <t>C.D.A.</t>
  </si>
  <si>
    <t>C.T.A.</t>
  </si>
  <si>
    <t>SECCIÓN DE COCINA</t>
  </si>
  <si>
    <t>COSTES DE MATERIA PRIMA</t>
  </si>
  <si>
    <t>Recibido Dpto I</t>
  </si>
  <si>
    <t>Recibido Dpto II</t>
  </si>
  <si>
    <t>Recibido Dpto III</t>
  </si>
  <si>
    <t>SECCIÓN COCINA</t>
  </si>
  <si>
    <t>Costes propios</t>
  </si>
  <si>
    <t>Costes propios del dpto</t>
  </si>
  <si>
    <t>TOTAL COSTES</t>
  </si>
  <si>
    <t>KG recibidos</t>
  </si>
  <si>
    <t>Total kg</t>
  </si>
  <si>
    <t>KG DE PERA PROCESADOS</t>
  </si>
  <si>
    <t>Convesión KG pera en confitura</t>
  </si>
  <si>
    <t>kg</t>
  </si>
  <si>
    <t>Tamaño bote</t>
  </si>
  <si>
    <t>gr</t>
  </si>
  <si>
    <t>Nº botes procesados</t>
  </si>
  <si>
    <t>botes</t>
  </si>
  <si>
    <t>Coste unitario</t>
  </si>
  <si>
    <t>CUENTA DE RESULTADOS</t>
  </si>
  <si>
    <t>CONCEPTO</t>
  </si>
  <si>
    <t>bote pera almibar</t>
  </si>
  <si>
    <t xml:space="preserve">bote de mermelada </t>
  </si>
  <si>
    <t xml:space="preserve">total </t>
  </si>
  <si>
    <t>Ingresos por ventas</t>
  </si>
  <si>
    <t>Costes producción vendida</t>
  </si>
  <si>
    <t>Margen industrial</t>
  </si>
  <si>
    <t>Nº botes vendidos</t>
  </si>
  <si>
    <t>Precio venta unitario</t>
  </si>
  <si>
    <t>BOTES DE PERAS ALMIBAR</t>
  </si>
  <si>
    <t xml:space="preserve">UNIDADES </t>
  </si>
  <si>
    <t>COSTE UNITARIO</t>
  </si>
  <si>
    <t>ALMACEN PRODUCTO TERMINADO (EXIST INICIALES)</t>
  </si>
  <si>
    <t>Pérdidas extraordinarias</t>
  </si>
  <si>
    <t>Departamento I</t>
  </si>
  <si>
    <t>Departamento II</t>
  </si>
  <si>
    <t>Departamento 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</si>
</sst>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9"/>
      <color rgb="FFFFFFFF"/>
      <name val="Times New Roman"/>
      <family val="1"/>
    </font>
    <font>
      <sz val="9"/>
      <color theme="1"/>
      <name val="Times New Roman"/>
      <family val="1"/>
    </font>
    <font>
      <vertAlign val="subscript"/>
      <sz val="9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0" xfId="0" applyAlignment="1">
      <alignment wrapText="1"/>
    </xf>
    <xf numFmtId="3" fontId="0" fillId="0" borderId="0" xfId="0" applyNumberFormat="1"/>
    <xf numFmtId="0" fontId="4" fillId="2" borderId="0" xfId="0" applyFont="1" applyFill="1"/>
    <xf numFmtId="0" fontId="5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4" fontId="0" fillId="0" borderId="0" xfId="0" applyNumberFormat="1"/>
    <xf numFmtId="0" fontId="5" fillId="3" borderId="5" xfId="0" applyFont="1" applyFill="1" applyBorder="1" applyAlignment="1">
      <alignment horizontal="center" vertical="center" wrapText="1"/>
    </xf>
    <xf numFmtId="3" fontId="0" fillId="0" borderId="1" xfId="0" applyNumberFormat="1" applyBorder="1"/>
    <xf numFmtId="0" fontId="0" fillId="0" borderId="1" xfId="0" applyBorder="1" applyAlignment="1">
      <alignment wrapText="1"/>
    </xf>
    <xf numFmtId="164" fontId="0" fillId="0" borderId="1" xfId="0" applyNumberFormat="1" applyBorder="1"/>
    <xf numFmtId="9" fontId="0" fillId="0" borderId="1" xfId="0" applyNumberFormat="1" applyBorder="1"/>
    <xf numFmtId="0" fontId="2" fillId="5" borderId="0" xfId="0" applyFont="1" applyFill="1"/>
    <xf numFmtId="0" fontId="0" fillId="5" borderId="0" xfId="0" applyFill="1"/>
    <xf numFmtId="0" fontId="4" fillId="2" borderId="1" xfId="0" applyFont="1" applyFill="1" applyBorder="1"/>
    <xf numFmtId="0" fontId="0" fillId="0" borderId="1" xfId="0" applyBorder="1" applyAlignment="1">
      <alignment horizontal="right"/>
    </xf>
    <xf numFmtId="0" fontId="1" fillId="2" borderId="1" xfId="0" applyFont="1" applyFill="1" applyBorder="1"/>
    <xf numFmtId="0" fontId="0" fillId="0" borderId="0" xfId="0" applyAlignment="1">
      <alignment horizontal="left"/>
    </xf>
    <xf numFmtId="0" fontId="0" fillId="0" borderId="0" xfId="0" applyBorder="1"/>
    <xf numFmtId="9" fontId="0" fillId="0" borderId="0" xfId="0" applyNumberFormat="1" applyBorder="1"/>
    <xf numFmtId="0" fontId="0" fillId="0" borderId="1" xfId="0" applyFill="1" applyBorder="1"/>
    <xf numFmtId="0" fontId="4" fillId="2" borderId="0" xfId="0" applyFont="1" applyFill="1" applyProtection="1"/>
    <xf numFmtId="0" fontId="0" fillId="0" borderId="0" xfId="0" applyProtection="1"/>
    <xf numFmtId="0" fontId="5" fillId="3" borderId="1" xfId="0" applyFont="1" applyFill="1" applyBorder="1" applyAlignment="1" applyProtection="1">
      <alignment horizontal="center" vertical="center" wrapText="1"/>
    </xf>
    <xf numFmtId="4" fontId="0" fillId="0" borderId="0" xfId="0" applyNumberFormat="1" applyProtection="1"/>
    <xf numFmtId="3" fontId="0" fillId="0" borderId="0" xfId="0" applyNumberFormat="1" applyProtection="1"/>
    <xf numFmtId="4" fontId="6" fillId="4" borderId="1" xfId="0" applyNumberFormat="1" applyFont="1" applyFill="1" applyBorder="1" applyAlignment="1">
      <alignment horizontal="center" vertical="center" wrapText="1"/>
    </xf>
    <xf numFmtId="4" fontId="6" fillId="4" borderId="1" xfId="0" applyNumberFormat="1" applyFont="1" applyFill="1" applyBorder="1" applyAlignment="1" applyProtection="1">
      <alignment horizontal="center" vertical="center" wrapText="1"/>
    </xf>
    <xf numFmtId="9" fontId="0" fillId="0" borderId="2" xfId="0" applyNumberFormat="1" applyBorder="1" applyAlignment="1"/>
    <xf numFmtId="0" fontId="0" fillId="0" borderId="3" xfId="0" applyBorder="1" applyAlignment="1"/>
    <xf numFmtId="164" fontId="0" fillId="0" borderId="2" xfId="0" applyNumberFormat="1" applyBorder="1" applyAlignment="1"/>
    <xf numFmtId="0" fontId="2" fillId="5" borderId="0" xfId="0" applyFont="1" applyFill="1" applyAlignment="1"/>
    <xf numFmtId="0" fontId="0" fillId="0" borderId="0" xfId="0" applyAlignment="1"/>
    <xf numFmtId="0" fontId="3" fillId="5" borderId="2" xfId="0" applyFont="1" applyFill="1" applyBorder="1" applyAlignment="1"/>
    <xf numFmtId="0" fontId="0" fillId="0" borderId="4" xfId="0" applyBorder="1" applyAlignment="1"/>
    <xf numFmtId="0" fontId="0" fillId="0" borderId="3" xfId="0" applyBorder="1" applyAlignment="1" applyProtection="1">
      <alignment horizontal="center" vertical="center" wrapText="1"/>
    </xf>
    <xf numFmtId="0" fontId="6" fillId="4" borderId="2" xfId="0" applyFont="1" applyFill="1" applyBorder="1" applyAlignment="1" applyProtection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 applyProtection="1">
      <alignment horizontal="left" vertical="center" wrapText="1"/>
    </xf>
    <xf numFmtId="0" fontId="0" fillId="4" borderId="4" xfId="0" applyFill="1" applyBorder="1" applyAlignment="1" applyProtection="1">
      <alignment horizontal="left" vertical="center" wrapText="1"/>
    </xf>
    <xf numFmtId="0" fontId="0" fillId="4" borderId="3" xfId="0" applyFill="1" applyBorder="1" applyAlignment="1" applyProtection="1">
      <alignment horizontal="left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3" fontId="6" fillId="4" borderId="1" xfId="0" applyNumberFormat="1" applyFont="1" applyFill="1" applyBorder="1" applyAlignment="1" applyProtection="1">
      <alignment horizontal="center" vertical="center" wrapText="1"/>
    </xf>
    <xf numFmtId="0" fontId="0" fillId="4" borderId="3" xfId="0" applyFill="1" applyBorder="1" applyAlignment="1" applyProtection="1">
      <alignment horizontal="center" vertical="center" wrapText="1"/>
    </xf>
    <xf numFmtId="0" fontId="0" fillId="4" borderId="3" xfId="0" applyFill="1" applyBorder="1" applyAlignment="1" applyProtection="1"/>
    <xf numFmtId="0" fontId="0" fillId="4" borderId="3" xfId="0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0" fillId="4" borderId="4" xfId="0" applyFill="1" applyBorder="1" applyAlignment="1">
      <alignment horizontal="left" vertical="center" wrapText="1"/>
    </xf>
    <xf numFmtId="0" fontId="0" fillId="4" borderId="3" xfId="0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3" fontId="6" fillId="4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/>
    <xf numFmtId="0" fontId="6" fillId="4" borderId="6" xfId="0" applyFont="1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 wrapText="1"/>
    </xf>
    <xf numFmtId="0" fontId="0" fillId="4" borderId="3" xfId="0" applyFill="1" applyBorder="1" applyAlignment="1"/>
    <xf numFmtId="4" fontId="0" fillId="4" borderId="3" xfId="0" applyNumberForma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8"/>
  <sheetViews>
    <sheetView topLeftCell="A34" workbookViewId="0">
      <selection activeCell="B68" sqref="B68"/>
    </sheetView>
  </sheetViews>
  <sheetFormatPr baseColWidth="10" defaultRowHeight="15" x14ac:dyDescent="0.25"/>
  <cols>
    <col min="1" max="1" width="23.85546875" customWidth="1"/>
    <col min="2" max="2" width="14" customWidth="1"/>
    <col min="3" max="3" width="16" customWidth="1"/>
    <col min="4" max="4" width="26.7109375" customWidth="1"/>
  </cols>
  <sheetData>
    <row r="1" spans="1:3" ht="15.75" x14ac:dyDescent="0.25">
      <c r="A1" s="31" t="s">
        <v>0</v>
      </c>
      <c r="B1" s="32"/>
      <c r="C1" s="32"/>
    </row>
    <row r="3" spans="1:3" x14ac:dyDescent="0.25">
      <c r="A3" s="33" t="s">
        <v>1</v>
      </c>
      <c r="B3" s="34"/>
      <c r="C3" s="29"/>
    </row>
    <row r="4" spans="1:3" ht="30" x14ac:dyDescent="0.25">
      <c r="A4" s="5" t="s">
        <v>2</v>
      </c>
      <c r="B4" s="8">
        <v>1500</v>
      </c>
      <c r="C4" s="9" t="s">
        <v>6</v>
      </c>
    </row>
    <row r="5" spans="1:3" x14ac:dyDescent="0.25">
      <c r="A5" s="5" t="s">
        <v>3</v>
      </c>
      <c r="B5" s="10">
        <v>1.4</v>
      </c>
      <c r="C5" s="11">
        <v>1</v>
      </c>
    </row>
    <row r="6" spans="1:3" x14ac:dyDescent="0.25">
      <c r="A6" s="5" t="s">
        <v>4</v>
      </c>
      <c r="B6" s="10">
        <v>135.25</v>
      </c>
      <c r="C6" s="11">
        <v>0.2</v>
      </c>
    </row>
    <row r="7" spans="1:3" x14ac:dyDescent="0.25">
      <c r="A7" s="5" t="s">
        <v>5</v>
      </c>
      <c r="B7" s="10">
        <v>51.45</v>
      </c>
      <c r="C7" s="11">
        <v>0.6</v>
      </c>
    </row>
    <row r="10" spans="1:3" x14ac:dyDescent="0.25">
      <c r="A10" s="33" t="s">
        <v>7</v>
      </c>
      <c r="B10" s="34"/>
      <c r="C10" s="29"/>
    </row>
    <row r="11" spans="1:3" ht="30" x14ac:dyDescent="0.25">
      <c r="A11" s="5" t="s">
        <v>2</v>
      </c>
      <c r="B11" s="8">
        <v>4000</v>
      </c>
      <c r="C11" s="9" t="s">
        <v>6</v>
      </c>
    </row>
    <row r="12" spans="1:3" x14ac:dyDescent="0.25">
      <c r="A12" s="5" t="s">
        <v>4</v>
      </c>
      <c r="B12" s="10">
        <v>1400</v>
      </c>
      <c r="C12" s="11">
        <v>0.7</v>
      </c>
    </row>
    <row r="13" spans="1:3" x14ac:dyDescent="0.25">
      <c r="A13" s="5" t="s">
        <v>5</v>
      </c>
      <c r="B13" s="10">
        <v>820</v>
      </c>
      <c r="C13" s="11">
        <v>0.5</v>
      </c>
    </row>
    <row r="14" spans="1:3" x14ac:dyDescent="0.25">
      <c r="A14" s="5" t="s">
        <v>8</v>
      </c>
      <c r="B14" s="10">
        <v>4500</v>
      </c>
      <c r="C14" s="5"/>
    </row>
    <row r="17" spans="1:12" x14ac:dyDescent="0.25">
      <c r="A17" s="33" t="s">
        <v>9</v>
      </c>
      <c r="B17" s="34"/>
      <c r="C17" s="29"/>
    </row>
    <row r="18" spans="1:12" ht="30" x14ac:dyDescent="0.25">
      <c r="A18" s="5" t="s">
        <v>2</v>
      </c>
      <c r="B18" s="8">
        <v>0</v>
      </c>
      <c r="C18" s="9" t="s">
        <v>6</v>
      </c>
    </row>
    <row r="19" spans="1:12" x14ac:dyDescent="0.25">
      <c r="A19" s="5" t="s">
        <v>3</v>
      </c>
      <c r="B19" s="10">
        <v>0</v>
      </c>
      <c r="C19" s="11">
        <v>0</v>
      </c>
      <c r="L19">
        <f>135.25+51.45+1500*1.4</f>
        <v>2286.6999999999998</v>
      </c>
    </row>
    <row r="20" spans="1:12" x14ac:dyDescent="0.25">
      <c r="A20" s="5" t="s">
        <v>4</v>
      </c>
      <c r="B20" s="10">
        <v>0</v>
      </c>
      <c r="C20" s="11">
        <v>0</v>
      </c>
      <c r="L20">
        <f>L19+317.21</f>
        <v>2603.91</v>
      </c>
    </row>
    <row r="21" spans="1:12" x14ac:dyDescent="0.25">
      <c r="A21" s="5" t="s">
        <v>5</v>
      </c>
      <c r="B21" s="10">
        <v>0</v>
      </c>
      <c r="C21" s="11">
        <v>0</v>
      </c>
    </row>
    <row r="22" spans="1:12" x14ac:dyDescent="0.25">
      <c r="A22" s="5" t="s">
        <v>8</v>
      </c>
      <c r="B22" s="10">
        <v>0</v>
      </c>
      <c r="C22" s="11"/>
    </row>
    <row r="23" spans="1:12" x14ac:dyDescent="0.25">
      <c r="A23" s="18"/>
      <c r="B23" s="18"/>
      <c r="C23" s="19"/>
    </row>
    <row r="24" spans="1:12" x14ac:dyDescent="0.25">
      <c r="A24" s="18"/>
      <c r="B24" s="18"/>
      <c r="C24" s="19"/>
    </row>
    <row r="25" spans="1:12" x14ac:dyDescent="0.25">
      <c r="A25" s="33" t="s">
        <v>86</v>
      </c>
      <c r="B25" s="34"/>
      <c r="C25" s="29"/>
    </row>
    <row r="26" spans="1:12" x14ac:dyDescent="0.25">
      <c r="A26" s="5"/>
      <c r="B26" s="5" t="s">
        <v>84</v>
      </c>
      <c r="C26" s="5" t="s">
        <v>85</v>
      </c>
    </row>
    <row r="27" spans="1:12" x14ac:dyDescent="0.25">
      <c r="A27" s="20" t="s">
        <v>83</v>
      </c>
      <c r="B27" s="5">
        <v>1000</v>
      </c>
      <c r="C27" s="10">
        <v>2.42</v>
      </c>
    </row>
    <row r="28" spans="1:12" x14ac:dyDescent="0.25">
      <c r="A28" s="18"/>
      <c r="B28" s="18"/>
      <c r="C28" s="19"/>
    </row>
    <row r="31" spans="1:12" ht="15.75" x14ac:dyDescent="0.25">
      <c r="A31" s="12" t="s">
        <v>10</v>
      </c>
      <c r="B31" s="13"/>
      <c r="D31" s="12" t="s">
        <v>12</v>
      </c>
      <c r="E31" s="13"/>
    </row>
    <row r="33" spans="1:5" x14ac:dyDescent="0.25">
      <c r="A33" s="14" t="s">
        <v>1</v>
      </c>
      <c r="B33" s="5"/>
      <c r="C33" s="5"/>
      <c r="D33" s="16" t="s">
        <v>1</v>
      </c>
      <c r="E33" s="5"/>
    </row>
    <row r="34" spans="1:5" x14ac:dyDescent="0.25">
      <c r="A34" s="5" t="s">
        <v>11</v>
      </c>
      <c r="B34" s="8">
        <v>50000</v>
      </c>
      <c r="C34" s="5"/>
      <c r="D34" s="5" t="s">
        <v>13</v>
      </c>
      <c r="E34" s="10">
        <f>50000*1.45</f>
        <v>72500</v>
      </c>
    </row>
    <row r="35" spans="1:5" x14ac:dyDescent="0.25">
      <c r="A35" s="5" t="s">
        <v>17</v>
      </c>
      <c r="B35" s="8">
        <v>42000</v>
      </c>
      <c r="C35" s="5"/>
      <c r="D35" s="5" t="s">
        <v>14</v>
      </c>
      <c r="E35" s="10">
        <v>9200</v>
      </c>
    </row>
    <row r="36" spans="1:5" ht="30" x14ac:dyDescent="0.25">
      <c r="A36" s="5" t="s">
        <v>16</v>
      </c>
      <c r="B36" s="8">
        <v>5500</v>
      </c>
      <c r="C36" s="9" t="s">
        <v>6</v>
      </c>
      <c r="D36" s="5" t="s">
        <v>15</v>
      </c>
      <c r="E36" s="10">
        <v>6000</v>
      </c>
    </row>
    <row r="37" spans="1:5" x14ac:dyDescent="0.25">
      <c r="A37" s="5"/>
      <c r="B37" s="15" t="s">
        <v>18</v>
      </c>
      <c r="C37" s="11">
        <v>1</v>
      </c>
    </row>
    <row r="38" spans="1:5" x14ac:dyDescent="0.25">
      <c r="A38" s="5"/>
      <c r="B38" s="15" t="s">
        <v>19</v>
      </c>
      <c r="C38" s="11">
        <v>0.6</v>
      </c>
    </row>
    <row r="39" spans="1:5" x14ac:dyDescent="0.25">
      <c r="A39" s="5"/>
      <c r="B39" s="15" t="s">
        <v>20</v>
      </c>
      <c r="C39" s="11">
        <v>0.4</v>
      </c>
    </row>
    <row r="40" spans="1:5" ht="30" x14ac:dyDescent="0.25">
      <c r="A40" s="5" t="s">
        <v>21</v>
      </c>
      <c r="B40" s="8">
        <f>B34+B4-B35-B36-B44</f>
        <v>2550</v>
      </c>
      <c r="C40" s="9" t="s">
        <v>6</v>
      </c>
    </row>
    <row r="41" spans="1:5" x14ac:dyDescent="0.25">
      <c r="A41" s="5"/>
      <c r="B41" s="15" t="s">
        <v>18</v>
      </c>
      <c r="C41" s="11">
        <v>1</v>
      </c>
    </row>
    <row r="42" spans="1:5" x14ac:dyDescent="0.25">
      <c r="A42" s="5"/>
      <c r="B42" s="15" t="s">
        <v>19</v>
      </c>
      <c r="C42" s="11">
        <v>0.5</v>
      </c>
    </row>
    <row r="43" spans="1:5" x14ac:dyDescent="0.25">
      <c r="A43" s="5"/>
      <c r="B43" s="15" t="s">
        <v>20</v>
      </c>
      <c r="C43" s="11">
        <v>0.3</v>
      </c>
    </row>
    <row r="44" spans="1:5" ht="30" x14ac:dyDescent="0.25">
      <c r="A44" s="5" t="s">
        <v>22</v>
      </c>
      <c r="B44" s="8">
        <v>1450</v>
      </c>
      <c r="C44" s="9" t="s">
        <v>6</v>
      </c>
    </row>
    <row r="45" spans="1:5" x14ac:dyDescent="0.25">
      <c r="A45" s="5"/>
      <c r="B45" s="15" t="s">
        <v>18</v>
      </c>
      <c r="C45" s="11">
        <v>1</v>
      </c>
    </row>
    <row r="46" spans="1:5" x14ac:dyDescent="0.25">
      <c r="A46" s="5"/>
      <c r="B46" s="15" t="s">
        <v>19</v>
      </c>
      <c r="C46" s="11">
        <v>1</v>
      </c>
    </row>
    <row r="47" spans="1:5" x14ac:dyDescent="0.25">
      <c r="A47" s="5"/>
      <c r="B47" s="15" t="s">
        <v>20</v>
      </c>
      <c r="C47" s="11">
        <v>1</v>
      </c>
    </row>
    <row r="48" spans="1:5" x14ac:dyDescent="0.25">
      <c r="A48" s="5" t="s">
        <v>40</v>
      </c>
      <c r="B48" s="5">
        <f>0.02*B34</f>
        <v>1000</v>
      </c>
      <c r="C48" s="5"/>
    </row>
    <row r="50" spans="1:5" x14ac:dyDescent="0.25">
      <c r="A50" s="14" t="s">
        <v>7</v>
      </c>
      <c r="B50" s="5"/>
      <c r="C50" s="5"/>
      <c r="D50" s="16" t="s">
        <v>7</v>
      </c>
      <c r="E50" s="5"/>
    </row>
    <row r="51" spans="1:5" x14ac:dyDescent="0.25">
      <c r="A51" s="5" t="s">
        <v>11</v>
      </c>
      <c r="B51" s="8">
        <f>B35</f>
        <v>42000</v>
      </c>
      <c r="C51" s="5"/>
      <c r="D51" s="5" t="s">
        <v>14</v>
      </c>
      <c r="E51" s="10">
        <v>7200</v>
      </c>
    </row>
    <row r="52" spans="1:5" x14ac:dyDescent="0.25">
      <c r="A52" s="5" t="s">
        <v>17</v>
      </c>
      <c r="B52" s="8">
        <v>38000</v>
      </c>
      <c r="C52" s="5"/>
      <c r="D52" s="5" t="s">
        <v>15</v>
      </c>
      <c r="E52" s="10">
        <v>5400</v>
      </c>
    </row>
    <row r="53" spans="1:5" ht="30" x14ac:dyDescent="0.25">
      <c r="A53" s="5" t="s">
        <v>16</v>
      </c>
      <c r="B53" s="8">
        <v>1800</v>
      </c>
      <c r="C53" s="9" t="s">
        <v>6</v>
      </c>
    </row>
    <row r="54" spans="1:5" x14ac:dyDescent="0.25">
      <c r="A54" s="5"/>
      <c r="B54" s="15" t="s">
        <v>19</v>
      </c>
      <c r="C54" s="11">
        <v>0.3</v>
      </c>
    </row>
    <row r="55" spans="1:5" x14ac:dyDescent="0.25">
      <c r="A55" s="5"/>
      <c r="B55" s="15" t="s">
        <v>20</v>
      </c>
      <c r="C55" s="11">
        <v>0.6</v>
      </c>
    </row>
    <row r="56" spans="1:5" ht="30" x14ac:dyDescent="0.25">
      <c r="A56" s="5" t="s">
        <v>21</v>
      </c>
      <c r="B56" s="8">
        <f>B51+B11-B52-B53-B59</f>
        <v>5350</v>
      </c>
      <c r="C56" s="9" t="s">
        <v>6</v>
      </c>
    </row>
    <row r="57" spans="1:5" x14ac:dyDescent="0.25">
      <c r="A57" s="5"/>
      <c r="B57" s="15" t="s">
        <v>19</v>
      </c>
      <c r="C57" s="11">
        <v>0.3</v>
      </c>
    </row>
    <row r="58" spans="1:5" x14ac:dyDescent="0.25">
      <c r="A58" s="5"/>
      <c r="B58" s="15" t="s">
        <v>20</v>
      </c>
      <c r="C58" s="11">
        <v>0.6</v>
      </c>
    </row>
    <row r="59" spans="1:5" ht="30" x14ac:dyDescent="0.25">
      <c r="A59" s="5" t="s">
        <v>22</v>
      </c>
      <c r="B59" s="8">
        <v>850</v>
      </c>
      <c r="C59" s="9" t="s">
        <v>6</v>
      </c>
    </row>
    <row r="60" spans="1:5" x14ac:dyDescent="0.25">
      <c r="A60" s="5"/>
      <c r="B60" s="15" t="s">
        <v>19</v>
      </c>
      <c r="C60" s="11">
        <v>1</v>
      </c>
    </row>
    <row r="61" spans="1:5" x14ac:dyDescent="0.25">
      <c r="A61" s="5"/>
      <c r="B61" s="15" t="s">
        <v>20</v>
      </c>
      <c r="C61" s="11">
        <v>1</v>
      </c>
    </row>
    <row r="62" spans="1:5" x14ac:dyDescent="0.25">
      <c r="A62" s="5" t="s">
        <v>40</v>
      </c>
      <c r="B62" s="15">
        <f>0.02*B51</f>
        <v>840</v>
      </c>
      <c r="C62" s="11"/>
    </row>
    <row r="64" spans="1:5" x14ac:dyDescent="0.25">
      <c r="A64" s="14" t="s">
        <v>9</v>
      </c>
      <c r="B64" s="5"/>
      <c r="C64" s="5"/>
      <c r="D64" s="16" t="s">
        <v>9</v>
      </c>
      <c r="E64" s="5"/>
    </row>
    <row r="65" spans="1:7" x14ac:dyDescent="0.25">
      <c r="A65" s="5" t="s">
        <v>23</v>
      </c>
      <c r="B65" s="8">
        <f>B52</f>
        <v>38000</v>
      </c>
      <c r="C65" s="5"/>
      <c r="D65" s="5" t="s">
        <v>24</v>
      </c>
      <c r="E65" s="10">
        <v>0.35</v>
      </c>
    </row>
    <row r="66" spans="1:7" x14ac:dyDescent="0.25">
      <c r="A66" s="5" t="s">
        <v>17</v>
      </c>
      <c r="B66" s="8">
        <v>36000</v>
      </c>
      <c r="C66" s="5"/>
      <c r="D66" s="5" t="s">
        <v>14</v>
      </c>
      <c r="E66" s="10">
        <v>2500</v>
      </c>
    </row>
    <row r="67" spans="1:7" ht="30" x14ac:dyDescent="0.25">
      <c r="A67" s="5" t="s">
        <v>16</v>
      </c>
      <c r="B67" s="8">
        <v>1800</v>
      </c>
      <c r="C67" s="9" t="s">
        <v>6</v>
      </c>
      <c r="D67" s="5" t="s">
        <v>15</v>
      </c>
      <c r="E67" s="10">
        <v>2100</v>
      </c>
    </row>
    <row r="68" spans="1:7" x14ac:dyDescent="0.25">
      <c r="A68" s="5"/>
      <c r="B68" s="15" t="s">
        <v>18</v>
      </c>
      <c r="C68" s="11">
        <v>1</v>
      </c>
    </row>
    <row r="69" spans="1:7" x14ac:dyDescent="0.25">
      <c r="A69" s="5"/>
      <c r="B69" s="15" t="s">
        <v>19</v>
      </c>
      <c r="C69" s="11">
        <v>0.4</v>
      </c>
    </row>
    <row r="70" spans="1:7" x14ac:dyDescent="0.25">
      <c r="A70" s="5"/>
      <c r="B70" s="15" t="s">
        <v>20</v>
      </c>
      <c r="C70" s="11">
        <v>0.7</v>
      </c>
    </row>
    <row r="71" spans="1:7" ht="30" x14ac:dyDescent="0.25">
      <c r="A71" s="5" t="s">
        <v>21</v>
      </c>
      <c r="B71" s="8">
        <f>0.7*200</f>
        <v>140</v>
      </c>
      <c r="C71" s="9" t="s">
        <v>6</v>
      </c>
      <c r="G71" s="2"/>
    </row>
    <row r="72" spans="1:7" x14ac:dyDescent="0.25">
      <c r="A72" s="5"/>
      <c r="B72" s="15" t="s">
        <v>18</v>
      </c>
      <c r="C72" s="11">
        <v>1</v>
      </c>
    </row>
    <row r="73" spans="1:7" x14ac:dyDescent="0.25">
      <c r="A73" s="5"/>
      <c r="B73" s="15" t="s">
        <v>19</v>
      </c>
      <c r="C73" s="11">
        <v>1</v>
      </c>
    </row>
    <row r="74" spans="1:7" x14ac:dyDescent="0.25">
      <c r="A74" s="5"/>
      <c r="B74" s="15" t="s">
        <v>20</v>
      </c>
      <c r="C74" s="11">
        <v>1</v>
      </c>
    </row>
    <row r="75" spans="1:7" ht="30" x14ac:dyDescent="0.25">
      <c r="A75" s="5" t="s">
        <v>22</v>
      </c>
      <c r="B75" s="8">
        <f>200*0.3</f>
        <v>60</v>
      </c>
      <c r="C75" s="9" t="s">
        <v>6</v>
      </c>
    </row>
    <row r="76" spans="1:7" x14ac:dyDescent="0.25">
      <c r="A76" s="5"/>
      <c r="B76" s="15" t="s">
        <v>18</v>
      </c>
      <c r="C76" s="11">
        <v>1</v>
      </c>
    </row>
    <row r="77" spans="1:7" x14ac:dyDescent="0.25">
      <c r="A77" s="5"/>
      <c r="B77" s="15" t="s">
        <v>19</v>
      </c>
      <c r="C77" s="11">
        <v>1</v>
      </c>
    </row>
    <row r="78" spans="1:7" x14ac:dyDescent="0.25">
      <c r="A78" s="5"/>
      <c r="B78" s="15" t="s">
        <v>20</v>
      </c>
      <c r="C78" s="11">
        <v>1</v>
      </c>
    </row>
    <row r="79" spans="1:7" x14ac:dyDescent="0.25">
      <c r="A79" s="5" t="s">
        <v>40</v>
      </c>
      <c r="B79" s="5">
        <v>50</v>
      </c>
      <c r="C79" s="5"/>
    </row>
    <row r="80" spans="1:7" ht="30" x14ac:dyDescent="0.25">
      <c r="A80" t="s">
        <v>81</v>
      </c>
      <c r="B80" s="8">
        <v>36500</v>
      </c>
      <c r="C80" s="1" t="s">
        <v>82</v>
      </c>
      <c r="D80" s="17">
        <v>6.5</v>
      </c>
    </row>
    <row r="82" spans="1:3" x14ac:dyDescent="0.25">
      <c r="A82" s="3" t="s">
        <v>59</v>
      </c>
    </row>
    <row r="84" spans="1:3" x14ac:dyDescent="0.25">
      <c r="A84" s="5" t="s">
        <v>60</v>
      </c>
      <c r="B84" s="30">
        <v>2400</v>
      </c>
      <c r="C84" s="29"/>
    </row>
    <row r="85" spans="1:3" x14ac:dyDescent="0.25">
      <c r="A85" s="5" t="s">
        <v>66</v>
      </c>
      <c r="B85" s="5"/>
      <c r="C85" s="5">
        <f>300/1000</f>
        <v>0.3</v>
      </c>
    </row>
    <row r="86" spans="1:3" x14ac:dyDescent="0.25">
      <c r="A86" s="5" t="s">
        <v>68</v>
      </c>
      <c r="B86" s="5">
        <v>200</v>
      </c>
      <c r="C86" s="5" t="s">
        <v>69</v>
      </c>
    </row>
    <row r="87" spans="1:3" x14ac:dyDescent="0.25">
      <c r="A87" s="5" t="s">
        <v>81</v>
      </c>
      <c r="B87" s="28">
        <v>1</v>
      </c>
      <c r="C87" s="29"/>
    </row>
    <row r="88" spans="1:3" x14ac:dyDescent="0.25">
      <c r="A88" s="5" t="s">
        <v>82</v>
      </c>
      <c r="B88" s="30">
        <v>2.99</v>
      </c>
      <c r="C88" s="29"/>
    </row>
  </sheetData>
  <mergeCells count="8">
    <mergeCell ref="B87:C87"/>
    <mergeCell ref="B88:C88"/>
    <mergeCell ref="A1:C1"/>
    <mergeCell ref="A3:C3"/>
    <mergeCell ref="A10:C10"/>
    <mergeCell ref="A17:C17"/>
    <mergeCell ref="A25:C25"/>
    <mergeCell ref="B84:C8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G9" sqref="G9:H9"/>
    </sheetView>
  </sheetViews>
  <sheetFormatPr baseColWidth="10" defaultRowHeight="15" x14ac:dyDescent="0.25"/>
  <cols>
    <col min="1" max="1" width="20.7109375" customWidth="1"/>
    <col min="2" max="2" width="11.5703125" customWidth="1"/>
    <col min="3" max="3" width="15.28515625" customWidth="1"/>
    <col min="4" max="4" width="17.28515625" customWidth="1"/>
    <col min="5" max="5" width="20.28515625" customWidth="1"/>
    <col min="6" max="6" width="18.140625" customWidth="1"/>
    <col min="9" max="9" width="11.42578125" customWidth="1"/>
  </cols>
  <sheetData>
    <row r="1" spans="1:6" x14ac:dyDescent="0.25">
      <c r="A1" s="21" t="s">
        <v>1</v>
      </c>
      <c r="B1" s="21"/>
      <c r="C1" s="22"/>
      <c r="D1" s="22"/>
      <c r="E1" s="22"/>
      <c r="F1" s="22"/>
    </row>
    <row r="2" spans="1:6" x14ac:dyDescent="0.25">
      <c r="A2" s="22" t="s">
        <v>44</v>
      </c>
      <c r="B2" s="22">
        <f>Datos!B48</f>
        <v>1000</v>
      </c>
      <c r="C2" s="22"/>
      <c r="D2" s="22"/>
      <c r="E2" s="22"/>
      <c r="F2" s="22"/>
    </row>
    <row r="3" spans="1:6" ht="24" x14ac:dyDescent="0.25">
      <c r="A3" s="23" t="s">
        <v>25</v>
      </c>
      <c r="B3" s="23" t="s">
        <v>41</v>
      </c>
      <c r="C3" s="23" t="s">
        <v>26</v>
      </c>
      <c r="D3" s="23" t="s">
        <v>19</v>
      </c>
      <c r="E3" s="23" t="s">
        <v>20</v>
      </c>
      <c r="F3" s="23" t="s">
        <v>27</v>
      </c>
    </row>
    <row r="4" spans="1:6" x14ac:dyDescent="0.25">
      <c r="A4" s="36" t="s">
        <v>28</v>
      </c>
      <c r="B4" s="35"/>
      <c r="C4" s="27">
        <f>Datos!E34</f>
        <v>72500</v>
      </c>
      <c r="D4" s="27">
        <f>Datos!E35</f>
        <v>9200</v>
      </c>
      <c r="E4" s="27">
        <f>Datos!E36</f>
        <v>6000</v>
      </c>
      <c r="F4" s="27">
        <f>SUM(C4:E4)</f>
        <v>87700</v>
      </c>
    </row>
    <row r="5" spans="1:6" x14ac:dyDescent="0.25">
      <c r="A5" s="38" t="s">
        <v>29</v>
      </c>
      <c r="B5" s="39"/>
      <c r="C5" s="39"/>
      <c r="D5" s="39"/>
      <c r="E5" s="40"/>
      <c r="F5" s="41"/>
    </row>
    <row r="6" spans="1:6" x14ac:dyDescent="0.25">
      <c r="A6" s="42" t="s">
        <v>35</v>
      </c>
      <c r="B6" s="43">
        <f>Datos!B4</f>
        <v>1500</v>
      </c>
      <c r="C6" s="43">
        <f>B8*(1-Datos!C5)</f>
        <v>0</v>
      </c>
      <c r="D6" s="43">
        <f>B6*(1-Datos!C6)</f>
        <v>1200</v>
      </c>
      <c r="E6" s="43">
        <f>B6*(1-Datos!C7)</f>
        <v>600</v>
      </c>
      <c r="F6" s="41"/>
    </row>
    <row r="7" spans="1:6" x14ac:dyDescent="0.25">
      <c r="A7" s="42" t="s">
        <v>36</v>
      </c>
      <c r="B7" s="43">
        <f>Datos!B35-Datos!B4</f>
        <v>40500</v>
      </c>
      <c r="C7" s="43">
        <f>B7</f>
        <v>40500</v>
      </c>
      <c r="D7" s="43">
        <f>B7</f>
        <v>40500</v>
      </c>
      <c r="E7" s="43">
        <f>B7</f>
        <v>40500</v>
      </c>
      <c r="F7" s="41"/>
    </row>
    <row r="8" spans="1:6" x14ac:dyDescent="0.25">
      <c r="A8" s="42" t="s">
        <v>37</v>
      </c>
      <c r="B8" s="43">
        <f>Datos!B36</f>
        <v>5500</v>
      </c>
      <c r="C8" s="43">
        <f>B8*Datos!C37</f>
        <v>5500</v>
      </c>
      <c r="D8" s="43">
        <f>B8*Datos!C38</f>
        <v>3300</v>
      </c>
      <c r="E8" s="42">
        <f>B8*Datos!C39</f>
        <v>2200</v>
      </c>
      <c r="F8" s="41"/>
    </row>
    <row r="9" spans="1:6" x14ac:dyDescent="0.25">
      <c r="A9" s="42" t="s">
        <v>42</v>
      </c>
      <c r="B9" s="43">
        <f>Datos!B44</f>
        <v>1450</v>
      </c>
      <c r="C9" s="43">
        <f>B9*Datos!C45</f>
        <v>1450</v>
      </c>
      <c r="D9" s="43">
        <f>B9*Datos!C46</f>
        <v>1450</v>
      </c>
      <c r="E9" s="42">
        <f>B9*Datos!C47</f>
        <v>1450</v>
      </c>
      <c r="F9" s="41"/>
    </row>
    <row r="10" spans="1:6" x14ac:dyDescent="0.25">
      <c r="A10" s="42" t="s">
        <v>43</v>
      </c>
      <c r="B10" s="43">
        <f>Datos!B40</f>
        <v>2550</v>
      </c>
      <c r="C10" s="43">
        <f>B10*Datos!C41</f>
        <v>2550</v>
      </c>
      <c r="D10" s="43">
        <f>B10*Datos!C42</f>
        <v>1275</v>
      </c>
      <c r="E10" s="42">
        <f>B10*Datos!C43</f>
        <v>765</v>
      </c>
      <c r="F10" s="41"/>
    </row>
    <row r="11" spans="1:6" x14ac:dyDescent="0.25">
      <c r="A11" s="36" t="s">
        <v>30</v>
      </c>
      <c r="B11" s="44"/>
      <c r="C11" s="43">
        <f>SUM(C6:C10)</f>
        <v>50000</v>
      </c>
      <c r="D11" s="43">
        <f t="shared" ref="D11:E11" si="0">SUM(D6:D10)</f>
        <v>47725</v>
      </c>
      <c r="E11" s="43">
        <f t="shared" si="0"/>
        <v>45515</v>
      </c>
      <c r="F11" s="41"/>
    </row>
    <row r="12" spans="1:6" x14ac:dyDescent="0.25">
      <c r="A12" s="36" t="s">
        <v>45</v>
      </c>
      <c r="B12" s="44"/>
      <c r="C12" s="43">
        <f>C11-C9</f>
        <v>48550</v>
      </c>
      <c r="D12" s="43">
        <f t="shared" ref="D12:E12" si="1">D11-D9</f>
        <v>46275</v>
      </c>
      <c r="E12" s="43">
        <f t="shared" si="1"/>
        <v>44065</v>
      </c>
      <c r="F12" s="41"/>
    </row>
    <row r="13" spans="1:6" x14ac:dyDescent="0.25">
      <c r="A13" s="36" t="s">
        <v>31</v>
      </c>
      <c r="B13" s="44"/>
      <c r="C13" s="42">
        <f>C4/C11</f>
        <v>1.45</v>
      </c>
      <c r="D13" s="42">
        <f>D4/D11</f>
        <v>0.19277108433734941</v>
      </c>
      <c r="E13" s="42">
        <f>E4/E11</f>
        <v>0.1318246731846644</v>
      </c>
      <c r="F13" s="42">
        <f>SUM(C13:E13)</f>
        <v>1.7745957575220137</v>
      </c>
    </row>
    <row r="14" spans="1:6" x14ac:dyDescent="0.25">
      <c r="A14" s="36" t="s">
        <v>32</v>
      </c>
      <c r="B14" s="44"/>
      <c r="C14" s="42">
        <f>IF(C9&gt;Datos!B48,(C13*Datos!B48)/C12,(C13*C9)/C12)</f>
        <v>2.9866117404737384E-2</v>
      </c>
      <c r="D14" s="42">
        <f>IF(D9&gt;Datos!B48,(D13*Datos!B48)/D12,(D13*D9)/D12)</f>
        <v>4.1657716766580095E-3</v>
      </c>
      <c r="E14" s="42">
        <f>IF(E9&gt;Datos!B48,(E13*Datos!B48)/E12,(E13*E9)/E12)</f>
        <v>2.9915958966223624E-3</v>
      </c>
      <c r="F14" s="42">
        <f t="shared" ref="F14:F15" si="2">SUM(C14:E14)</f>
        <v>3.7023484978017752E-2</v>
      </c>
    </row>
    <row r="15" spans="1:6" x14ac:dyDescent="0.25">
      <c r="A15" s="36" t="s">
        <v>33</v>
      </c>
      <c r="B15" s="44"/>
      <c r="C15" s="42">
        <f>C13+C14</f>
        <v>1.4798661174047374</v>
      </c>
      <c r="D15" s="42">
        <f>D13+D14</f>
        <v>0.19693685601400743</v>
      </c>
      <c r="E15" s="42">
        <f>E13+E14</f>
        <v>0.13481626908128677</v>
      </c>
      <c r="F15" s="42">
        <f t="shared" si="2"/>
        <v>1.8116192425000317</v>
      </c>
    </row>
    <row r="16" spans="1:6" x14ac:dyDescent="0.25">
      <c r="A16" s="38" t="s">
        <v>34</v>
      </c>
      <c r="B16" s="39"/>
      <c r="C16" s="39"/>
      <c r="D16" s="39"/>
      <c r="E16" s="39"/>
      <c r="F16" s="40"/>
    </row>
    <row r="17" spans="1:6" x14ac:dyDescent="0.25">
      <c r="A17" s="36" t="s">
        <v>35</v>
      </c>
      <c r="B17" s="44"/>
      <c r="C17" s="27">
        <f>C6*$C$15</f>
        <v>0</v>
      </c>
      <c r="D17" s="27">
        <f>D6*$D$15</f>
        <v>236.32422721680891</v>
      </c>
      <c r="E17" s="42">
        <f>E6*E15</f>
        <v>80.889761448772063</v>
      </c>
      <c r="F17" s="27">
        <f>SUM(C17:E17)</f>
        <v>317.21398866558098</v>
      </c>
    </row>
    <row r="18" spans="1:6" x14ac:dyDescent="0.25">
      <c r="A18" s="36" t="s">
        <v>36</v>
      </c>
      <c r="B18" s="44"/>
      <c r="C18" s="27">
        <f>C7*$C$15</f>
        <v>59934.577754891863</v>
      </c>
      <c r="D18" s="27">
        <f t="shared" ref="D18:D21" si="3">D7*$D$15</f>
        <v>7975.9426685673006</v>
      </c>
      <c r="E18" s="27">
        <f>E7*E15</f>
        <v>5460.0588977921143</v>
      </c>
      <c r="F18" s="27">
        <f t="shared" ref="F18:F21" si="4">SUM(C18:E18)</f>
        <v>73370.57932125128</v>
      </c>
    </row>
    <row r="19" spans="1:6" x14ac:dyDescent="0.25">
      <c r="A19" s="36" t="s">
        <v>37</v>
      </c>
      <c r="B19" s="44"/>
      <c r="C19" s="27">
        <f>C8*$C$15</f>
        <v>8139.263645726056</v>
      </c>
      <c r="D19" s="27">
        <f t="shared" si="3"/>
        <v>649.89162484622454</v>
      </c>
      <c r="E19" s="42">
        <f>E8*E15</f>
        <v>296.5957919788309</v>
      </c>
      <c r="F19" s="27">
        <f t="shared" si="4"/>
        <v>9085.7510625511113</v>
      </c>
    </row>
    <row r="20" spans="1:6" x14ac:dyDescent="0.25">
      <c r="A20" s="36" t="s">
        <v>38</v>
      </c>
      <c r="B20" s="44"/>
      <c r="C20" s="27">
        <f>IF(C9&gt;Datos!B48,C13*(C9-Datos!B48),0)</f>
        <v>652.5</v>
      </c>
      <c r="D20" s="27">
        <f>IF(D9&gt;Datos!B48,D13*(D9-Datos!B48),0)</f>
        <v>86.746987951807228</v>
      </c>
      <c r="E20" s="27">
        <f>IF(E9&gt;Datos!B48,E13*(E9-Datos!B48),0)</f>
        <v>59.321102933098977</v>
      </c>
      <c r="F20" s="27">
        <f t="shared" si="4"/>
        <v>798.56809088490616</v>
      </c>
    </row>
    <row r="21" spans="1:6" x14ac:dyDescent="0.25">
      <c r="A21" s="36" t="s">
        <v>39</v>
      </c>
      <c r="B21" s="44"/>
      <c r="C21" s="27">
        <f>C10*$C$15</f>
        <v>3773.6585993820804</v>
      </c>
      <c r="D21" s="27">
        <f t="shared" si="3"/>
        <v>251.09449141785947</v>
      </c>
      <c r="E21" s="42">
        <f>E10*E15</f>
        <v>103.13444584718438</v>
      </c>
      <c r="F21" s="27">
        <f t="shared" si="4"/>
        <v>4127.8875366471239</v>
      </c>
    </row>
    <row r="22" spans="1:6" x14ac:dyDescent="0.25">
      <c r="A22" s="36" t="s">
        <v>27</v>
      </c>
      <c r="B22" s="45"/>
      <c r="C22" s="27">
        <f>SUM(C17:C21)</f>
        <v>72500</v>
      </c>
      <c r="D22" s="27">
        <f>SUM(D17:D21)</f>
        <v>9200</v>
      </c>
      <c r="E22" s="27">
        <f>SUM(E17:E21)</f>
        <v>6000</v>
      </c>
      <c r="F22" s="27">
        <f>SUM(F17:F21)</f>
        <v>87699.999999999985</v>
      </c>
    </row>
    <row r="23" spans="1:6" x14ac:dyDescent="0.25">
      <c r="A23" s="22"/>
      <c r="B23" s="22"/>
      <c r="C23" s="22"/>
      <c r="D23" s="22"/>
      <c r="E23" s="22"/>
      <c r="F23" s="22"/>
    </row>
    <row r="24" spans="1:6" x14ac:dyDescent="0.25">
      <c r="A24" s="22"/>
      <c r="B24" s="22"/>
      <c r="C24" s="22"/>
      <c r="D24" s="22"/>
      <c r="E24" s="22"/>
      <c r="F24" s="22"/>
    </row>
    <row r="25" spans="1:6" x14ac:dyDescent="0.25">
      <c r="A25" s="22" t="s">
        <v>46</v>
      </c>
      <c r="B25" s="22"/>
      <c r="C25" s="22"/>
      <c r="D25" s="22"/>
      <c r="E25" s="22"/>
      <c r="F25" s="22"/>
    </row>
    <row r="26" spans="1:6" x14ac:dyDescent="0.25">
      <c r="A26" s="22"/>
      <c r="B26" s="22"/>
      <c r="C26" s="22"/>
      <c r="D26" s="22"/>
      <c r="E26" s="22"/>
      <c r="F26" s="22"/>
    </row>
    <row r="27" spans="1:6" x14ac:dyDescent="0.25">
      <c r="A27" s="22" t="s">
        <v>47</v>
      </c>
      <c r="B27" s="24">
        <f>F17+Datos!B6+Datos!B7+Datos!B5*Datos!B4</f>
        <v>2603.9139886655812</v>
      </c>
      <c r="C27" s="22"/>
      <c r="D27" s="22"/>
      <c r="E27" s="22"/>
      <c r="F27" s="22"/>
    </row>
    <row r="28" spans="1:6" x14ac:dyDescent="0.25">
      <c r="A28" s="22" t="s">
        <v>48</v>
      </c>
      <c r="B28" s="24">
        <f>F18</f>
        <v>73370.57932125128</v>
      </c>
      <c r="C28" s="22"/>
      <c r="D28" s="22"/>
      <c r="E28" s="22"/>
      <c r="F28" s="22"/>
    </row>
    <row r="29" spans="1:6" x14ac:dyDescent="0.25">
      <c r="A29" s="22" t="s">
        <v>49</v>
      </c>
      <c r="B29" s="24">
        <f>B27+B28</f>
        <v>75974.493309916856</v>
      </c>
      <c r="C29" s="22"/>
      <c r="D29" s="22"/>
      <c r="E29" s="22"/>
      <c r="F29" s="22"/>
    </row>
    <row r="30" spans="1:6" x14ac:dyDescent="0.25">
      <c r="A30" s="22" t="s">
        <v>50</v>
      </c>
      <c r="B30" s="25">
        <f>B6+B7</f>
        <v>42000</v>
      </c>
      <c r="C30" s="22"/>
      <c r="D30" s="22"/>
      <c r="E30" s="22"/>
      <c r="F30" s="22"/>
    </row>
    <row r="31" spans="1:6" x14ac:dyDescent="0.25">
      <c r="A31" s="22" t="s">
        <v>51</v>
      </c>
      <c r="B31" s="22">
        <f>B29/B30</f>
        <v>1.8089165073789728</v>
      </c>
      <c r="C31" s="22"/>
      <c r="D31" s="22"/>
      <c r="E31" s="22"/>
      <c r="F31" s="22"/>
    </row>
  </sheetData>
  <mergeCells count="16">
    <mergeCell ref="A21:B21"/>
    <mergeCell ref="A22:B22"/>
    <mergeCell ref="A4:B4"/>
    <mergeCell ref="A16:F16"/>
    <mergeCell ref="A5:E5"/>
    <mergeCell ref="A15:B15"/>
    <mergeCell ref="A17:B17"/>
    <mergeCell ref="A18:B18"/>
    <mergeCell ref="A19:B19"/>
    <mergeCell ref="A20:B20"/>
    <mergeCell ref="F5:F10"/>
    <mergeCell ref="F11:F12"/>
    <mergeCell ref="A11:B11"/>
    <mergeCell ref="A12:B12"/>
    <mergeCell ref="A13:B13"/>
    <mergeCell ref="A14:B1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workbookViewId="0">
      <selection activeCell="J8" sqref="J8"/>
    </sheetView>
  </sheetViews>
  <sheetFormatPr baseColWidth="10" defaultRowHeight="15" x14ac:dyDescent="0.25"/>
  <cols>
    <col min="1" max="1" width="20.7109375" customWidth="1"/>
    <col min="2" max="2" width="11.5703125" customWidth="1"/>
    <col min="3" max="3" width="17.28515625" customWidth="1"/>
    <col min="4" max="4" width="20.28515625" customWidth="1"/>
    <col min="5" max="5" width="18.140625" customWidth="1"/>
    <col min="8" max="8" width="11.42578125" customWidth="1"/>
  </cols>
  <sheetData>
    <row r="1" spans="1:7" x14ac:dyDescent="0.25">
      <c r="A1" s="3" t="s">
        <v>7</v>
      </c>
      <c r="B1" s="3"/>
    </row>
    <row r="2" spans="1:7" x14ac:dyDescent="0.25">
      <c r="A2" t="s">
        <v>44</v>
      </c>
      <c r="B2">
        <f>Datos!B62</f>
        <v>840</v>
      </c>
    </row>
    <row r="3" spans="1:7" ht="24" x14ac:dyDescent="0.25">
      <c r="A3" s="4" t="s">
        <v>25</v>
      </c>
      <c r="B3" s="4" t="s">
        <v>41</v>
      </c>
      <c r="C3" s="4" t="s">
        <v>19</v>
      </c>
      <c r="D3" s="4" t="s">
        <v>20</v>
      </c>
      <c r="E3" s="4" t="s">
        <v>27</v>
      </c>
      <c r="F3" s="7" t="s">
        <v>52</v>
      </c>
      <c r="G3" s="7" t="s">
        <v>53</v>
      </c>
    </row>
    <row r="4" spans="1:7" x14ac:dyDescent="0.25">
      <c r="A4" s="37" t="s">
        <v>28</v>
      </c>
      <c r="B4" s="46"/>
      <c r="C4" s="26">
        <f>Datos!E51</f>
        <v>7200</v>
      </c>
      <c r="D4" s="26">
        <f>Datos!E52</f>
        <v>5400</v>
      </c>
      <c r="E4" s="26">
        <f>SUM(C4:D4)</f>
        <v>12600</v>
      </c>
      <c r="F4" s="26">
        <f>'Dpto I'!B29</f>
        <v>75974.493309916856</v>
      </c>
      <c r="G4" s="26">
        <f>E4+F4</f>
        <v>88574.493309916856</v>
      </c>
    </row>
    <row r="5" spans="1:7" x14ac:dyDescent="0.25">
      <c r="A5" s="47" t="s">
        <v>29</v>
      </c>
      <c r="B5" s="48"/>
      <c r="C5" s="48"/>
      <c r="D5" s="49"/>
      <c r="E5" s="50"/>
      <c r="F5" s="51"/>
      <c r="G5" s="50"/>
    </row>
    <row r="6" spans="1:7" x14ac:dyDescent="0.25">
      <c r="A6" s="52" t="s">
        <v>35</v>
      </c>
      <c r="B6" s="51">
        <f>Datos!B11</f>
        <v>4000</v>
      </c>
      <c r="C6" s="51">
        <f>B6*(1-Datos!C12)</f>
        <v>1200.0000000000002</v>
      </c>
      <c r="D6" s="51">
        <f>B6*(1-Datos!C13)</f>
        <v>2000</v>
      </c>
      <c r="E6" s="50"/>
      <c r="F6" s="51">
        <v>0</v>
      </c>
      <c r="G6" s="50"/>
    </row>
    <row r="7" spans="1:7" x14ac:dyDescent="0.25">
      <c r="A7" s="52" t="s">
        <v>36</v>
      </c>
      <c r="B7" s="51">
        <f>Datos!B52-Datos!B11</f>
        <v>34000</v>
      </c>
      <c r="C7" s="51">
        <f>B7</f>
        <v>34000</v>
      </c>
      <c r="D7" s="51">
        <f>B7</f>
        <v>34000</v>
      </c>
      <c r="E7" s="50"/>
      <c r="F7" s="51">
        <f>B7</f>
        <v>34000</v>
      </c>
      <c r="G7" s="50"/>
    </row>
    <row r="8" spans="1:7" x14ac:dyDescent="0.25">
      <c r="A8" s="52" t="s">
        <v>37</v>
      </c>
      <c r="B8" s="51">
        <f>Datos!B53</f>
        <v>1800</v>
      </c>
      <c r="C8" s="51">
        <f>B8*Datos!C54</f>
        <v>540</v>
      </c>
      <c r="D8" s="52">
        <f>B8*Datos!C55</f>
        <v>1080</v>
      </c>
      <c r="E8" s="50"/>
      <c r="F8" s="51">
        <f>B8</f>
        <v>1800</v>
      </c>
      <c r="G8" s="50"/>
    </row>
    <row r="9" spans="1:7" x14ac:dyDescent="0.25">
      <c r="A9" s="52" t="s">
        <v>42</v>
      </c>
      <c r="B9" s="51">
        <f>Datos!B59</f>
        <v>850</v>
      </c>
      <c r="C9" s="51">
        <f>B9*Datos!C60</f>
        <v>850</v>
      </c>
      <c r="D9" s="52">
        <f>B9*Datos!C61</f>
        <v>850</v>
      </c>
      <c r="E9" s="50"/>
      <c r="F9" s="51">
        <f>B9</f>
        <v>850</v>
      </c>
      <c r="G9" s="50"/>
    </row>
    <row r="10" spans="1:7" x14ac:dyDescent="0.25">
      <c r="A10" s="52" t="s">
        <v>43</v>
      </c>
      <c r="B10" s="51">
        <f>Datos!B56</f>
        <v>5350</v>
      </c>
      <c r="C10" s="51">
        <f>B10*Datos!C57</f>
        <v>1605</v>
      </c>
      <c r="D10" s="52">
        <f>B10*Datos!C58</f>
        <v>3210</v>
      </c>
      <c r="E10" s="50"/>
      <c r="F10" s="51">
        <f>B10</f>
        <v>5350</v>
      </c>
      <c r="G10" s="50"/>
    </row>
    <row r="11" spans="1:7" x14ac:dyDescent="0.25">
      <c r="A11" s="37" t="s">
        <v>30</v>
      </c>
      <c r="B11" s="46"/>
      <c r="C11" s="51">
        <f t="shared" ref="C11:F11" si="0">SUM(C6:C10)</f>
        <v>38195</v>
      </c>
      <c r="D11" s="51">
        <f t="shared" si="0"/>
        <v>41140</v>
      </c>
      <c r="E11" s="50"/>
      <c r="F11" s="51">
        <f t="shared" si="0"/>
        <v>42000</v>
      </c>
      <c r="G11" s="50"/>
    </row>
    <row r="12" spans="1:7" x14ac:dyDescent="0.25">
      <c r="A12" s="37" t="s">
        <v>45</v>
      </c>
      <c r="B12" s="46"/>
      <c r="C12" s="51">
        <f t="shared" ref="C12:F12" si="1">C11-C9</f>
        <v>37345</v>
      </c>
      <c r="D12" s="51">
        <f t="shared" si="1"/>
        <v>40290</v>
      </c>
      <c r="E12" s="50"/>
      <c r="F12" s="51">
        <f t="shared" si="1"/>
        <v>41150</v>
      </c>
      <c r="G12" s="50"/>
    </row>
    <row r="13" spans="1:7" x14ac:dyDescent="0.25">
      <c r="A13" s="37" t="s">
        <v>31</v>
      </c>
      <c r="B13" s="46"/>
      <c r="C13" s="52">
        <f>C4/C11</f>
        <v>0.18850634899856003</v>
      </c>
      <c r="D13" s="52">
        <f>D4/D11</f>
        <v>0.13125911521633446</v>
      </c>
      <c r="E13" s="52">
        <f>SUM(C13:D13)</f>
        <v>0.31976546421489449</v>
      </c>
      <c r="F13" s="52">
        <f>F4/F11</f>
        <v>1.8089165073789728</v>
      </c>
      <c r="G13" s="52">
        <f>E13+F13</f>
        <v>2.1286819715938674</v>
      </c>
    </row>
    <row r="14" spans="1:7" x14ac:dyDescent="0.25">
      <c r="A14" s="37" t="s">
        <v>32</v>
      </c>
      <c r="B14" s="46"/>
      <c r="C14" s="52">
        <f>IF(C9&gt;Datos!B62,(C13*Datos!B62)/C12,(C13*C9)/C12)</f>
        <v>4.2400678312703288E-3</v>
      </c>
      <c r="D14" s="52">
        <f>IF(D9&gt;Datos!B62,(D13*Datos!B62)/D12,(D13*D9)/D12)</f>
        <v>2.7366010618446496E-3</v>
      </c>
      <c r="E14" s="52">
        <f>SUM(C14:D14)</f>
        <v>6.9766688931149779E-3</v>
      </c>
      <c r="F14" s="52">
        <f>IF(F9&gt;Datos!B62,(F13*Datos!B62)/F12,(F13*F9)/F12)</f>
        <v>3.6925634658525816E-2</v>
      </c>
      <c r="G14" s="52">
        <f t="shared" ref="G14:G15" si="2">E14+F14</f>
        <v>4.3902303551640792E-2</v>
      </c>
    </row>
    <row r="15" spans="1:7" x14ac:dyDescent="0.25">
      <c r="A15" s="37" t="s">
        <v>33</v>
      </c>
      <c r="B15" s="46"/>
      <c r="C15" s="52">
        <f>C13+C14</f>
        <v>0.19274641682983035</v>
      </c>
      <c r="D15" s="52">
        <f>D13+D14</f>
        <v>0.13399571627817911</v>
      </c>
      <c r="E15" s="52">
        <f>SUM(C15:D15)</f>
        <v>0.32674213310800948</v>
      </c>
      <c r="F15" s="52">
        <f>F13+F14</f>
        <v>1.8458421420374986</v>
      </c>
      <c r="G15" s="52">
        <f t="shared" si="2"/>
        <v>2.1725842751455082</v>
      </c>
    </row>
    <row r="16" spans="1:7" x14ac:dyDescent="0.25">
      <c r="A16" s="53" t="s">
        <v>34</v>
      </c>
      <c r="B16" s="54"/>
      <c r="C16" s="54"/>
      <c r="D16" s="54"/>
      <c r="E16" s="54"/>
      <c r="F16" s="55"/>
      <c r="G16" s="55"/>
    </row>
    <row r="17" spans="1:7" x14ac:dyDescent="0.25">
      <c r="A17" s="56" t="s">
        <v>35</v>
      </c>
      <c r="B17" s="57"/>
      <c r="C17" s="26">
        <f>C6*$C$15</f>
        <v>231.29570019579646</v>
      </c>
      <c r="D17" s="26">
        <f>D6*D15</f>
        <v>267.99143255635823</v>
      </c>
      <c r="E17" s="26">
        <f>SUM(C17:D17)</f>
        <v>499.28713275215466</v>
      </c>
      <c r="F17" s="26">
        <f>F6*F15</f>
        <v>0</v>
      </c>
      <c r="G17" s="26">
        <f>E17+F17</f>
        <v>499.28713275215466</v>
      </c>
    </row>
    <row r="18" spans="1:7" x14ac:dyDescent="0.25">
      <c r="A18" s="37" t="s">
        <v>36</v>
      </c>
      <c r="B18" s="46"/>
      <c r="C18" s="26">
        <f t="shared" ref="C18:C21" si="3">C7*$C$15</f>
        <v>6553.3781722142321</v>
      </c>
      <c r="D18" s="26">
        <f>D7*D15</f>
        <v>4555.8543534580895</v>
      </c>
      <c r="E18" s="26">
        <f>SUM(C18:D18)</f>
        <v>11109.232525672322</v>
      </c>
      <c r="F18" s="26">
        <f>F7*F15</f>
        <v>62758.632829274953</v>
      </c>
      <c r="G18" s="26">
        <f t="shared" ref="G18:G22" si="4">E18+F18</f>
        <v>73867.86535494728</v>
      </c>
    </row>
    <row r="19" spans="1:7" x14ac:dyDescent="0.25">
      <c r="A19" s="37" t="s">
        <v>37</v>
      </c>
      <c r="B19" s="46"/>
      <c r="C19" s="26">
        <f t="shared" si="3"/>
        <v>104.08306508810838</v>
      </c>
      <c r="D19" s="26">
        <f>D8*D15</f>
        <v>144.71537358043344</v>
      </c>
      <c r="E19" s="26">
        <f>SUM(C19:D19)</f>
        <v>248.79843866854182</v>
      </c>
      <c r="F19" s="26">
        <f>F15*F8</f>
        <v>3322.5158556674974</v>
      </c>
      <c r="G19" s="26">
        <f t="shared" si="4"/>
        <v>3571.314294336039</v>
      </c>
    </row>
    <row r="20" spans="1:7" x14ac:dyDescent="0.25">
      <c r="A20" s="37" t="s">
        <v>38</v>
      </c>
      <c r="B20" s="46"/>
      <c r="C20" s="26">
        <f>IF(C9&gt;Datos!B62,C13*(C9-Datos!B62),0)</f>
        <v>1.8850634899856002</v>
      </c>
      <c r="D20" s="26">
        <f>IF(D9&gt;Datos!B62,D13*(D9-Datos!B62),0)</f>
        <v>1.3125911521633447</v>
      </c>
      <c r="E20" s="26">
        <f>SUM(C20:D20)</f>
        <v>3.1976546421489447</v>
      </c>
      <c r="F20" s="26">
        <f>IF(F9&gt;Datos!B62,F13*(F9-Datos!B62),0)</f>
        <v>18.089165073789729</v>
      </c>
      <c r="G20" s="26">
        <f t="shared" si="4"/>
        <v>21.286819715938673</v>
      </c>
    </row>
    <row r="21" spans="1:7" x14ac:dyDescent="0.25">
      <c r="A21" s="37" t="s">
        <v>39</v>
      </c>
      <c r="B21" s="46"/>
      <c r="C21" s="26">
        <f t="shared" si="3"/>
        <v>309.35799901187772</v>
      </c>
      <c r="D21" s="26">
        <f>D10*D15</f>
        <v>430.12624925295495</v>
      </c>
      <c r="E21" s="26">
        <f>SUM(C21:D21)</f>
        <v>739.48424826483267</v>
      </c>
      <c r="F21" s="26">
        <f>F10*F15</f>
        <v>9875.255459900618</v>
      </c>
      <c r="G21" s="26">
        <f t="shared" si="4"/>
        <v>10614.739708165451</v>
      </c>
    </row>
    <row r="22" spans="1:7" x14ac:dyDescent="0.25">
      <c r="A22" s="37" t="s">
        <v>27</v>
      </c>
      <c r="B22" s="58"/>
      <c r="C22" s="26">
        <f>SUM(C17:C21)</f>
        <v>7200</v>
      </c>
      <c r="D22" s="26">
        <f>SUM(D17:D21)</f>
        <v>5399.9999999999991</v>
      </c>
      <c r="E22" s="26">
        <f>SUM(E17:E21)</f>
        <v>12600</v>
      </c>
      <c r="F22" s="26">
        <f>SUM(F17:F21)</f>
        <v>75974.49330991687</v>
      </c>
      <c r="G22" s="26">
        <f t="shared" si="4"/>
        <v>88574.49330991687</v>
      </c>
    </row>
    <row r="25" spans="1:7" x14ac:dyDescent="0.25">
      <c r="A25" t="s">
        <v>46</v>
      </c>
    </row>
    <row r="27" spans="1:7" x14ac:dyDescent="0.25">
      <c r="A27" t="s">
        <v>47</v>
      </c>
      <c r="B27" s="6">
        <f>G17+Datos!B12+Datos!B13+Datos!B14</f>
        <v>7219.2871327521552</v>
      </c>
    </row>
    <row r="28" spans="1:7" x14ac:dyDescent="0.25">
      <c r="A28" t="s">
        <v>48</v>
      </c>
      <c r="B28" s="6">
        <f>G18</f>
        <v>73867.86535494728</v>
      </c>
    </row>
    <row r="29" spans="1:7" x14ac:dyDescent="0.25">
      <c r="A29" t="s">
        <v>49</v>
      </c>
      <c r="B29" s="6">
        <f>B27+B28</f>
        <v>81087.152487699437</v>
      </c>
    </row>
    <row r="30" spans="1:7" x14ac:dyDescent="0.25">
      <c r="A30" t="s">
        <v>50</v>
      </c>
      <c r="B30" s="2">
        <f>B6+B7</f>
        <v>38000</v>
      </c>
    </row>
    <row r="31" spans="1:7" x14ac:dyDescent="0.25">
      <c r="A31" t="s">
        <v>51</v>
      </c>
      <c r="B31">
        <f>B29/B30</f>
        <v>2.1338724338868271</v>
      </c>
    </row>
  </sheetData>
  <mergeCells count="18">
    <mergeCell ref="A19:B19"/>
    <mergeCell ref="A20:B20"/>
    <mergeCell ref="A21:B21"/>
    <mergeCell ref="A22:B22"/>
    <mergeCell ref="G5:G10"/>
    <mergeCell ref="G11:G12"/>
    <mergeCell ref="A16:G16"/>
    <mergeCell ref="A13:B13"/>
    <mergeCell ref="A14:B14"/>
    <mergeCell ref="A15:B15"/>
    <mergeCell ref="A17:B17"/>
    <mergeCell ref="A18:B18"/>
    <mergeCell ref="A4:B4"/>
    <mergeCell ref="A5:D5"/>
    <mergeCell ref="E5:E10"/>
    <mergeCell ref="A11:B11"/>
    <mergeCell ref="E11:E12"/>
    <mergeCell ref="A12:B12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workbookViewId="0">
      <selection activeCell="K17" sqref="K17"/>
    </sheetView>
  </sheetViews>
  <sheetFormatPr baseColWidth="10" defaultRowHeight="15" x14ac:dyDescent="0.25"/>
  <cols>
    <col min="1" max="1" width="20.7109375" customWidth="1"/>
    <col min="2" max="3" width="11.5703125" customWidth="1"/>
    <col min="4" max="4" width="17.28515625" customWidth="1"/>
    <col min="5" max="5" width="20.28515625" customWidth="1"/>
    <col min="6" max="6" width="18.140625" customWidth="1"/>
    <col min="9" max="9" width="11.42578125" customWidth="1"/>
  </cols>
  <sheetData>
    <row r="1" spans="1:8" x14ac:dyDescent="0.25">
      <c r="A1" s="3" t="s">
        <v>9</v>
      </c>
      <c r="B1" s="3"/>
      <c r="C1" s="3"/>
    </row>
    <row r="2" spans="1:8" x14ac:dyDescent="0.25">
      <c r="A2" t="s">
        <v>44</v>
      </c>
      <c r="B2">
        <f>Datos!B79</f>
        <v>50</v>
      </c>
    </row>
    <row r="3" spans="1:8" ht="24" x14ac:dyDescent="0.25">
      <c r="A3" s="4" t="s">
        <v>25</v>
      </c>
      <c r="B3" s="4" t="s">
        <v>41</v>
      </c>
      <c r="C3" s="4" t="s">
        <v>18</v>
      </c>
      <c r="D3" s="4" t="s">
        <v>19</v>
      </c>
      <c r="E3" s="4" t="s">
        <v>20</v>
      </c>
      <c r="F3" s="4" t="s">
        <v>27</v>
      </c>
      <c r="G3" s="7" t="s">
        <v>52</v>
      </c>
      <c r="H3" s="7" t="s">
        <v>53</v>
      </c>
    </row>
    <row r="4" spans="1:8" x14ac:dyDescent="0.25">
      <c r="A4" s="37" t="s">
        <v>28</v>
      </c>
      <c r="B4" s="46"/>
      <c r="C4" s="59">
        <f>Datos!B65*Datos!E65</f>
        <v>13300</v>
      </c>
      <c r="D4" s="26">
        <f>Datos!E66</f>
        <v>2500</v>
      </c>
      <c r="E4" s="26">
        <f>Datos!E67</f>
        <v>2100</v>
      </c>
      <c r="F4" s="26">
        <f>SUM(C4:E4)</f>
        <v>17900</v>
      </c>
      <c r="G4" s="26">
        <f>'Dpto II'!B29</f>
        <v>81087.152487699437</v>
      </c>
      <c r="H4" s="26">
        <f>F4+G4</f>
        <v>98987.152487699437</v>
      </c>
    </row>
    <row r="5" spans="1:8" x14ac:dyDescent="0.25">
      <c r="A5" s="47" t="s">
        <v>29</v>
      </c>
      <c r="B5" s="48"/>
      <c r="C5" s="48"/>
      <c r="D5" s="48"/>
      <c r="E5" s="49"/>
      <c r="F5" s="50"/>
      <c r="G5" s="51"/>
      <c r="H5" s="50"/>
    </row>
    <row r="6" spans="1:8" x14ac:dyDescent="0.25">
      <c r="A6" s="52" t="s">
        <v>35</v>
      </c>
      <c r="B6" s="51">
        <f>Datos!B18</f>
        <v>0</v>
      </c>
      <c r="C6" s="51">
        <f>B6*Datos!C19</f>
        <v>0</v>
      </c>
      <c r="D6" s="51">
        <f>B6*Datos!C20</f>
        <v>0</v>
      </c>
      <c r="E6" s="51">
        <f>B6*Datos!C21</f>
        <v>0</v>
      </c>
      <c r="F6" s="50"/>
      <c r="G6" s="51">
        <v>0</v>
      </c>
      <c r="H6" s="50"/>
    </row>
    <row r="7" spans="1:8" x14ac:dyDescent="0.25">
      <c r="A7" s="52" t="s">
        <v>36</v>
      </c>
      <c r="B7" s="51">
        <f>Datos!B66</f>
        <v>36000</v>
      </c>
      <c r="C7" s="51">
        <f>B7</f>
        <v>36000</v>
      </c>
      <c r="D7" s="51">
        <f>B7</f>
        <v>36000</v>
      </c>
      <c r="E7" s="51">
        <f>B7</f>
        <v>36000</v>
      </c>
      <c r="F7" s="50"/>
      <c r="G7" s="51">
        <f>B7</f>
        <v>36000</v>
      </c>
      <c r="H7" s="50"/>
    </row>
    <row r="8" spans="1:8" x14ac:dyDescent="0.25">
      <c r="A8" s="52" t="s">
        <v>37</v>
      </c>
      <c r="B8" s="51">
        <f>Datos!B67</f>
        <v>1800</v>
      </c>
      <c r="C8" s="51">
        <f>B8*Datos!C68</f>
        <v>1800</v>
      </c>
      <c r="D8" s="51">
        <f>B8*Datos!C69</f>
        <v>720</v>
      </c>
      <c r="E8" s="52">
        <f>B8*Datos!C70</f>
        <v>1260</v>
      </c>
      <c r="F8" s="50"/>
      <c r="G8" s="51">
        <f>B8</f>
        <v>1800</v>
      </c>
      <c r="H8" s="50"/>
    </row>
    <row r="9" spans="1:8" x14ac:dyDescent="0.25">
      <c r="A9" s="52" t="s">
        <v>42</v>
      </c>
      <c r="B9" s="51">
        <f>Datos!B75</f>
        <v>60</v>
      </c>
      <c r="C9" s="51">
        <f>B9*Datos!C76</f>
        <v>60</v>
      </c>
      <c r="D9" s="51">
        <f>B9*Datos!C77</f>
        <v>60</v>
      </c>
      <c r="E9" s="52">
        <f>B9*Datos!C78</f>
        <v>60</v>
      </c>
      <c r="F9" s="50"/>
      <c r="G9" s="51">
        <f>B9</f>
        <v>60</v>
      </c>
      <c r="H9" s="50"/>
    </row>
    <row r="10" spans="1:8" x14ac:dyDescent="0.25">
      <c r="A10" s="52" t="s">
        <v>43</v>
      </c>
      <c r="B10" s="51">
        <f>Datos!B71</f>
        <v>140</v>
      </c>
      <c r="C10" s="51">
        <f>B10*Datos!C72</f>
        <v>140</v>
      </c>
      <c r="D10" s="51">
        <f>B10*Datos!C73</f>
        <v>140</v>
      </c>
      <c r="E10" s="52">
        <f>B10*Datos!C74</f>
        <v>140</v>
      </c>
      <c r="F10" s="50"/>
      <c r="G10" s="51">
        <f>B10</f>
        <v>140</v>
      </c>
      <c r="H10" s="50"/>
    </row>
    <row r="11" spans="1:8" x14ac:dyDescent="0.25">
      <c r="A11" s="37" t="s">
        <v>30</v>
      </c>
      <c r="B11" s="46"/>
      <c r="C11" s="51">
        <f t="shared" ref="C11:G11" si="0">SUM(C6:C10)</f>
        <v>38000</v>
      </c>
      <c r="D11" s="51">
        <f t="shared" ref="D11" si="1">SUM(D6:D10)</f>
        <v>36920</v>
      </c>
      <c r="E11" s="51">
        <f t="shared" ref="E11" si="2">SUM(E6:E10)</f>
        <v>37460</v>
      </c>
      <c r="F11" s="50"/>
      <c r="G11" s="51">
        <f t="shared" si="0"/>
        <v>38000</v>
      </c>
      <c r="H11" s="50"/>
    </row>
    <row r="12" spans="1:8" x14ac:dyDescent="0.25">
      <c r="A12" s="37" t="s">
        <v>45</v>
      </c>
      <c r="B12" s="46"/>
      <c r="C12" s="51">
        <f>C11-C9-C10</f>
        <v>37800</v>
      </c>
      <c r="D12" s="51">
        <f t="shared" ref="D12:E12" si="3">D11-D9-D10</f>
        <v>36720</v>
      </c>
      <c r="E12" s="51">
        <f t="shared" si="3"/>
        <v>37260</v>
      </c>
      <c r="F12" s="50"/>
      <c r="G12" s="51">
        <f t="shared" ref="G12" si="4">G11-G9</f>
        <v>37940</v>
      </c>
      <c r="H12" s="50"/>
    </row>
    <row r="13" spans="1:8" x14ac:dyDescent="0.25">
      <c r="A13" s="37" t="s">
        <v>31</v>
      </c>
      <c r="B13" s="46"/>
      <c r="C13" s="52">
        <f>C4/C11</f>
        <v>0.35</v>
      </c>
      <c r="D13" s="52">
        <f>D4/D11</f>
        <v>6.7713976164680389E-2</v>
      </c>
      <c r="E13" s="52">
        <f>E4/E11</f>
        <v>5.6059797116924721E-2</v>
      </c>
      <c r="F13" s="52">
        <f>SUM(D13:E13)</f>
        <v>0.1237737732816051</v>
      </c>
      <c r="G13" s="52">
        <f>G4/G11</f>
        <v>2.1338724338868271</v>
      </c>
      <c r="H13" s="52">
        <f>F13+G13</f>
        <v>2.257646207168432</v>
      </c>
    </row>
    <row r="14" spans="1:8" x14ac:dyDescent="0.25">
      <c r="A14" s="37" t="s">
        <v>32</v>
      </c>
      <c r="B14" s="46"/>
      <c r="C14" s="52">
        <f>IF((C9+C10)&gt;Datos!B79,(C13*Datos!B79)/C12,(C13*C9)/C12)</f>
        <v>4.6296296296296298E-4</v>
      </c>
      <c r="D14" s="52">
        <f>IF((D9+D10)&gt;Datos!B79,(D13*Datos!B79)/D12,(D13*D9)/D12)</f>
        <v>9.220312658589377E-5</v>
      </c>
      <c r="E14" s="52">
        <f>IF((E9+E10)&gt;Datos!B79,(E13*Datos!B79)/E12,(E13*E9)/E12)</f>
        <v>7.5227854424214611E-5</v>
      </c>
      <c r="F14" s="52">
        <f>SUM(D14:E14)</f>
        <v>1.6743098101010837E-4</v>
      </c>
      <c r="G14" s="52">
        <f>IF(G9&gt;Datos!B79,(G13*Datos!B79)/G12,(G13*G9)/G12)</f>
        <v>2.8121671506152177E-3</v>
      </c>
      <c r="H14" s="52">
        <f t="shared" ref="H14:H15" si="5">F14+G14</f>
        <v>2.9795981316253261E-3</v>
      </c>
    </row>
    <row r="15" spans="1:8" x14ac:dyDescent="0.25">
      <c r="A15" s="37" t="s">
        <v>33</v>
      </c>
      <c r="B15" s="46"/>
      <c r="C15" s="52">
        <f>C13+C14</f>
        <v>0.35046296296296292</v>
      </c>
      <c r="D15" s="52">
        <f>D13+D14</f>
        <v>6.7806179291266283E-2</v>
      </c>
      <c r="E15" s="52">
        <f>E13+E14</f>
        <v>5.6135024971348937E-2</v>
      </c>
      <c r="F15" s="52">
        <f>SUM(D15:E15)</f>
        <v>0.12394120426261522</v>
      </c>
      <c r="G15" s="52">
        <f>G13+G14</f>
        <v>2.1366846010374423</v>
      </c>
      <c r="H15" s="52">
        <f t="shared" si="5"/>
        <v>2.2606258053000574</v>
      </c>
    </row>
    <row r="16" spans="1:8" x14ac:dyDescent="0.25">
      <c r="A16" s="53" t="s">
        <v>34</v>
      </c>
      <c r="B16" s="54"/>
      <c r="C16" s="54"/>
      <c r="D16" s="54"/>
      <c r="E16" s="54"/>
      <c r="F16" s="54"/>
      <c r="G16" s="55"/>
      <c r="H16" s="55"/>
    </row>
    <row r="17" spans="1:8" x14ac:dyDescent="0.25">
      <c r="A17" s="56" t="s">
        <v>35</v>
      </c>
      <c r="B17" s="57"/>
      <c r="C17" s="26">
        <f>C6*C15</f>
        <v>0</v>
      </c>
      <c r="D17" s="26">
        <f>D6*$D$15</f>
        <v>0</v>
      </c>
      <c r="E17" s="26">
        <f>E6*E15</f>
        <v>0</v>
      </c>
      <c r="F17" s="26">
        <f>SUM(C17:E17)</f>
        <v>0</v>
      </c>
      <c r="G17" s="26">
        <f>G6*G15</f>
        <v>0</v>
      </c>
      <c r="H17" s="26">
        <f>F17+G17</f>
        <v>0</v>
      </c>
    </row>
    <row r="18" spans="1:8" x14ac:dyDescent="0.25">
      <c r="A18" s="37" t="s">
        <v>36</v>
      </c>
      <c r="B18" s="46"/>
      <c r="C18" s="26">
        <f>C7*C15</f>
        <v>12616.666666666664</v>
      </c>
      <c r="D18" s="26">
        <f t="shared" ref="D18:D19" si="6">D7*$D$15</f>
        <v>2441.022454485586</v>
      </c>
      <c r="E18" s="26">
        <f>E7*E15</f>
        <v>2020.8608989685617</v>
      </c>
      <c r="F18" s="26">
        <f t="shared" ref="F18:F21" si="7">SUM(C18:E18)</f>
        <v>17078.550020120812</v>
      </c>
      <c r="G18" s="26">
        <f>G7*G15</f>
        <v>76920.645637347916</v>
      </c>
      <c r="H18" s="26">
        <f t="shared" ref="H18:H22" si="8">F18+G18</f>
        <v>93999.195657468721</v>
      </c>
    </row>
    <row r="19" spans="1:8" x14ac:dyDescent="0.25">
      <c r="A19" s="37" t="s">
        <v>37</v>
      </c>
      <c r="B19" s="46"/>
      <c r="C19" s="26">
        <f>C8*C15</f>
        <v>630.83333333333326</v>
      </c>
      <c r="D19" s="26">
        <f t="shared" si="6"/>
        <v>48.820449089711722</v>
      </c>
      <c r="E19" s="26">
        <f>E8*E15</f>
        <v>70.730131463899667</v>
      </c>
      <c r="F19" s="26">
        <f t="shared" si="7"/>
        <v>750.38391388694458</v>
      </c>
      <c r="G19" s="26">
        <f>G15*G8</f>
        <v>3846.0322818673963</v>
      </c>
      <c r="H19" s="26">
        <f t="shared" si="8"/>
        <v>4596.4161957543411</v>
      </c>
    </row>
    <row r="20" spans="1:8" x14ac:dyDescent="0.25">
      <c r="A20" s="37" t="s">
        <v>38</v>
      </c>
      <c r="B20" s="46"/>
      <c r="C20" s="26">
        <f>IF((C9+C10)&gt;Datos!B79,C13*(C9+C10-Datos!B79),0)</f>
        <v>52.5</v>
      </c>
      <c r="D20" s="26">
        <f>IF((D9+D10)&gt;Datos!B79,D13*(D9+D10-Datos!B79),0)</f>
        <v>10.157096424702058</v>
      </c>
      <c r="E20" s="26">
        <f>IF((E9+E10)&gt;Datos!B79,E13*(E9+E10-Datos!B79),0)</f>
        <v>8.4089695675387084</v>
      </c>
      <c r="F20" s="26">
        <f t="shared" si="7"/>
        <v>71.066065992240766</v>
      </c>
      <c r="G20" s="26">
        <f>IF(G9&gt;Datos!B79,G13*(G9-Datos!B79),0)</f>
        <v>21.338724338868271</v>
      </c>
      <c r="H20" s="26">
        <f t="shared" si="8"/>
        <v>92.404790331109041</v>
      </c>
    </row>
    <row r="21" spans="1:8" x14ac:dyDescent="0.25">
      <c r="A21" s="37" t="s">
        <v>39</v>
      </c>
      <c r="B21" s="46"/>
      <c r="C21" s="26">
        <v>0</v>
      </c>
      <c r="D21" s="26">
        <v>0</v>
      </c>
      <c r="E21" s="26">
        <v>0</v>
      </c>
      <c r="F21" s="26">
        <f t="shared" si="7"/>
        <v>0</v>
      </c>
      <c r="G21" s="26">
        <f>G10*G15</f>
        <v>299.13584414524195</v>
      </c>
      <c r="H21" s="26">
        <f t="shared" si="8"/>
        <v>299.13584414524195</v>
      </c>
    </row>
    <row r="22" spans="1:8" x14ac:dyDescent="0.25">
      <c r="A22" s="37" t="s">
        <v>27</v>
      </c>
      <c r="B22" s="58"/>
      <c r="C22" s="26">
        <f>SUM(C17:C21)</f>
        <v>13299.999999999998</v>
      </c>
      <c r="D22" s="26">
        <f>SUM(D17:D21)</f>
        <v>2500</v>
      </c>
      <c r="E22" s="26">
        <f>SUM(E17:E21)</f>
        <v>2100.0000000000005</v>
      </c>
      <c r="F22" s="26">
        <f>SUM(F17:F21)</f>
        <v>17899.999999999996</v>
      </c>
      <c r="G22" s="26">
        <f>SUM(G17:G21)</f>
        <v>81087.152487699437</v>
      </c>
      <c r="H22" s="26">
        <f t="shared" si="8"/>
        <v>98987.152487699437</v>
      </c>
    </row>
    <row r="25" spans="1:8" x14ac:dyDescent="0.25">
      <c r="A25" t="s">
        <v>46</v>
      </c>
    </row>
    <row r="27" spans="1:8" x14ac:dyDescent="0.25">
      <c r="A27" t="s">
        <v>47</v>
      </c>
      <c r="B27" s="6">
        <f>H17+Datos!B20+Datos!B21+Datos!B22</f>
        <v>0</v>
      </c>
      <c r="C27" s="6"/>
    </row>
    <row r="28" spans="1:8" x14ac:dyDescent="0.25">
      <c r="A28" t="s">
        <v>48</v>
      </c>
      <c r="B28" s="6">
        <f>H18</f>
        <v>93999.195657468721</v>
      </c>
      <c r="C28" s="6"/>
    </row>
    <row r="29" spans="1:8" x14ac:dyDescent="0.25">
      <c r="A29" t="s">
        <v>49</v>
      </c>
      <c r="B29" s="6">
        <f>B27+B28</f>
        <v>93999.195657468721</v>
      </c>
      <c r="C29" s="6"/>
    </row>
    <row r="30" spans="1:8" x14ac:dyDescent="0.25">
      <c r="A30" t="s">
        <v>50</v>
      </c>
      <c r="B30" s="2">
        <f>B7</f>
        <v>36000</v>
      </c>
      <c r="C30" s="2"/>
    </row>
    <row r="31" spans="1:8" x14ac:dyDescent="0.25">
      <c r="A31" t="s">
        <v>51</v>
      </c>
      <c r="B31">
        <f>B29/B30</f>
        <v>2.6110887682630199</v>
      </c>
    </row>
  </sheetData>
  <mergeCells count="18">
    <mergeCell ref="A19:B19"/>
    <mergeCell ref="A20:B20"/>
    <mergeCell ref="A21:B21"/>
    <mergeCell ref="A22:B22"/>
    <mergeCell ref="A13:B13"/>
    <mergeCell ref="A14:B14"/>
    <mergeCell ref="A15:B15"/>
    <mergeCell ref="A16:H16"/>
    <mergeCell ref="A17:B17"/>
    <mergeCell ref="A18:B18"/>
    <mergeCell ref="A4:B4"/>
    <mergeCell ref="A5:E5"/>
    <mergeCell ref="F5:F10"/>
    <mergeCell ref="H5:H10"/>
    <mergeCell ref="A11:B11"/>
    <mergeCell ref="F11:F12"/>
    <mergeCell ref="H11:H12"/>
    <mergeCell ref="A12:B1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E14" sqref="E14"/>
    </sheetView>
  </sheetViews>
  <sheetFormatPr baseColWidth="10" defaultRowHeight="15" x14ac:dyDescent="0.25"/>
  <cols>
    <col min="1" max="1" width="30" customWidth="1"/>
  </cols>
  <sheetData>
    <row r="1" spans="1:4" x14ac:dyDescent="0.25">
      <c r="A1" s="3" t="s">
        <v>54</v>
      </c>
    </row>
    <row r="3" spans="1:4" x14ac:dyDescent="0.25">
      <c r="A3" t="s">
        <v>55</v>
      </c>
      <c r="C3" t="s">
        <v>63</v>
      </c>
    </row>
    <row r="4" spans="1:4" x14ac:dyDescent="0.25">
      <c r="A4" t="s">
        <v>56</v>
      </c>
      <c r="B4" s="6">
        <f>'Dpto I'!F21</f>
        <v>4127.8875366471239</v>
      </c>
      <c r="C4" s="2">
        <f>'Dpto I'!B10</f>
        <v>2550</v>
      </c>
    </row>
    <row r="5" spans="1:4" x14ac:dyDescent="0.25">
      <c r="A5" t="s">
        <v>57</v>
      </c>
      <c r="B5" s="6">
        <f>'Dpto II'!G21</f>
        <v>10614.739708165451</v>
      </c>
      <c r="C5" s="2">
        <f>'Dpto II'!B10</f>
        <v>5350</v>
      </c>
    </row>
    <row r="6" spans="1:4" x14ac:dyDescent="0.25">
      <c r="A6" t="s">
        <v>58</v>
      </c>
      <c r="B6" s="6">
        <f>'Dpto III'!H21</f>
        <v>299.13584414524195</v>
      </c>
      <c r="C6">
        <f>'Dpto III'!B10*Datos!B52/Datos!B65</f>
        <v>140</v>
      </c>
    </row>
    <row r="7" spans="1:4" x14ac:dyDescent="0.25">
      <c r="A7" t="s">
        <v>61</v>
      </c>
      <c r="B7">
        <f>Datos!B84</f>
        <v>2400</v>
      </c>
      <c r="C7" t="s">
        <v>64</v>
      </c>
      <c r="D7" s="2">
        <f>C4+C5+C6</f>
        <v>8040</v>
      </c>
    </row>
    <row r="9" spans="1:4" x14ac:dyDescent="0.25">
      <c r="A9" t="s">
        <v>62</v>
      </c>
      <c r="B9" s="6">
        <f>SUM(B4:B7)</f>
        <v>17441.763088957814</v>
      </c>
    </row>
    <row r="11" spans="1:4" x14ac:dyDescent="0.25">
      <c r="A11" t="s">
        <v>65</v>
      </c>
      <c r="B11" s="2">
        <f>D7</f>
        <v>8040</v>
      </c>
      <c r="C11" t="s">
        <v>67</v>
      </c>
    </row>
    <row r="12" spans="1:4" x14ac:dyDescent="0.25">
      <c r="A12" t="s">
        <v>66</v>
      </c>
      <c r="B12">
        <f>B11*Datos!C85</f>
        <v>2412</v>
      </c>
      <c r="C12" t="s">
        <v>67</v>
      </c>
    </row>
    <row r="13" spans="1:4" x14ac:dyDescent="0.25">
      <c r="A13" t="s">
        <v>68</v>
      </c>
      <c r="B13">
        <f>Datos!B86</f>
        <v>200</v>
      </c>
      <c r="C13" t="str">
        <f>Datos!C86</f>
        <v>gr</v>
      </c>
    </row>
    <row r="14" spans="1:4" x14ac:dyDescent="0.25">
      <c r="A14" t="s">
        <v>70</v>
      </c>
      <c r="B14" s="6">
        <f>B12*1000/B13</f>
        <v>12060</v>
      </c>
      <c r="C14" t="s">
        <v>71</v>
      </c>
    </row>
    <row r="16" spans="1:4" x14ac:dyDescent="0.25">
      <c r="A16" t="s">
        <v>72</v>
      </c>
      <c r="B16">
        <f>B9/B14</f>
        <v>1.4462490123513942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tabSelected="1" workbookViewId="0">
      <selection activeCell="C5" sqref="C5"/>
    </sheetView>
  </sheetViews>
  <sheetFormatPr baseColWidth="10" defaultRowHeight="15" x14ac:dyDescent="0.25"/>
  <cols>
    <col min="1" max="1" width="43.7109375" customWidth="1"/>
    <col min="2" max="2" width="20.42578125" customWidth="1"/>
    <col min="3" max="3" width="21.42578125" customWidth="1"/>
    <col min="4" max="4" width="20.28515625" customWidth="1"/>
  </cols>
  <sheetData>
    <row r="1" spans="1:4" x14ac:dyDescent="0.25">
      <c r="A1" s="13" t="s">
        <v>73</v>
      </c>
    </row>
    <row r="2" spans="1:4" x14ac:dyDescent="0.25">
      <c r="A2" s="5" t="s">
        <v>74</v>
      </c>
      <c r="B2" s="5" t="s">
        <v>75</v>
      </c>
      <c r="C2" s="5" t="s">
        <v>76</v>
      </c>
      <c r="D2" s="5" t="s">
        <v>77</v>
      </c>
    </row>
    <row r="3" spans="1:4" x14ac:dyDescent="0.25">
      <c r="A3" s="5" t="s">
        <v>78</v>
      </c>
      <c r="B3" s="10">
        <f>Datos!B80*Datos!D80</f>
        <v>237250</v>
      </c>
      <c r="C3" s="10">
        <f>Datos!B88*Datos!B87*Cocina!B14+1000*Datos!B88</f>
        <v>39049.4</v>
      </c>
      <c r="D3" s="10">
        <f>B3+C3</f>
        <v>276299.40000000002</v>
      </c>
    </row>
    <row r="4" spans="1:4" x14ac:dyDescent="0.25">
      <c r="A4" s="5" t="s">
        <v>79</v>
      </c>
      <c r="B4" s="10">
        <f>Datos!B27*Datos!C27+(Datos!B80-Datos!B27)*'Dpto III'!B31</f>
        <v>95113.651273337207</v>
      </c>
      <c r="C4" s="10">
        <f>Cocina!B16*Cocina!B14*Datos!B87+1000*2.42</f>
        <v>19861.763088957814</v>
      </c>
      <c r="D4" s="10">
        <f>B4+C4</f>
        <v>114975.41436229502</v>
      </c>
    </row>
    <row r="5" spans="1:4" x14ac:dyDescent="0.25">
      <c r="A5" s="5" t="s">
        <v>80</v>
      </c>
      <c r="B5" s="10">
        <f>B3-B4</f>
        <v>142136.34872666281</v>
      </c>
      <c r="C5" s="10">
        <f>C3-C4</f>
        <v>19187.636911042187</v>
      </c>
      <c r="D5" s="10">
        <f>D3-D4</f>
        <v>161323.98563770502</v>
      </c>
    </row>
    <row r="8" spans="1:4" x14ac:dyDescent="0.25">
      <c r="A8" t="s">
        <v>87</v>
      </c>
    </row>
    <row r="9" spans="1:4" x14ac:dyDescent="0.25">
      <c r="A9" s="5" t="s">
        <v>88</v>
      </c>
      <c r="B9" s="10">
        <f>'Dpto I'!F20</f>
        <v>798.56809088490616</v>
      </c>
    </row>
    <row r="10" spans="1:4" x14ac:dyDescent="0.25">
      <c r="A10" s="5" t="s">
        <v>89</v>
      </c>
      <c r="B10" s="10">
        <f>'Dpto II'!G20</f>
        <v>21.286819715938673</v>
      </c>
    </row>
    <row r="11" spans="1:4" x14ac:dyDescent="0.25">
      <c r="A11" s="5" t="s">
        <v>90</v>
      </c>
      <c r="B11" s="10">
        <f>'Dpto III'!H20</f>
        <v>92.404790331109041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Datos</vt:lpstr>
      <vt:lpstr>Dpto I</vt:lpstr>
      <vt:lpstr>Dpto II</vt:lpstr>
      <vt:lpstr>Dpto III</vt:lpstr>
      <vt:lpstr>Cocina</vt:lpstr>
      <vt:lpstr>Cuenta de rdos</vt:lpstr>
    </vt:vector>
  </TitlesOfParts>
  <Company>GP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2015-01-15T10:27:54Z</dcterms:created>
  <dcterms:modified xsi:type="dcterms:W3CDTF">2015-02-12T07:27:31Z</dcterms:modified>
</cp:coreProperties>
</file>