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 PORTATIL\"/>
    </mc:Choice>
  </mc:AlternateContent>
  <bookViews>
    <workbookView xWindow="600" yWindow="90" windowWidth="20115" windowHeight="7695"/>
  </bookViews>
  <sheets>
    <sheet name="Datos de partida" sheetId="7" r:id="rId1"/>
    <sheet name="Cálculos comunes" sheetId="8" r:id="rId2"/>
    <sheet name="Apartado 2.A." sheetId="9" r:id="rId3"/>
    <sheet name="Apartado 2.B" sheetId="10" r:id="rId4"/>
    <sheet name="Apartado 2.C" sheetId="11" r:id="rId5"/>
    <sheet name="Apartado 3" sheetId="12" r:id="rId6"/>
    <sheet name="Apartado 4" sheetId="13" r:id="rId7"/>
  </sheets>
  <calcPr calcId="152511" concurrentCalc="0"/>
</workbook>
</file>

<file path=xl/calcChain.xml><?xml version="1.0" encoding="utf-8"?>
<calcChain xmlns="http://schemas.openxmlformats.org/spreadsheetml/2006/main">
  <c r="C7" i="8" l="1"/>
  <c r="C29" i="8"/>
  <c r="C5" i="8"/>
  <c r="D5" i="8"/>
  <c r="E5" i="8"/>
  <c r="C6" i="8"/>
  <c r="D6" i="8"/>
  <c r="E6" i="8"/>
  <c r="D7" i="8"/>
  <c r="D29" i="8"/>
  <c r="E29" i="8"/>
  <c r="C30" i="8"/>
  <c r="D30" i="8"/>
  <c r="E30" i="8"/>
  <c r="E31" i="8"/>
  <c r="E32" i="8"/>
  <c r="E33" i="8"/>
  <c r="E8" i="9"/>
  <c r="E9" i="9"/>
  <c r="C9" i="9"/>
  <c r="D9" i="9"/>
  <c r="C19" i="9"/>
  <c r="C17" i="8"/>
  <c r="D17" i="8"/>
  <c r="E17" i="8"/>
  <c r="C18" i="8"/>
  <c r="D18" i="8"/>
  <c r="E18" i="8"/>
  <c r="E19" i="8"/>
  <c r="C14" i="8"/>
  <c r="D14" i="8"/>
  <c r="E14" i="8"/>
  <c r="C15" i="8"/>
  <c r="D15" i="8"/>
  <c r="E15" i="8"/>
  <c r="E16" i="8"/>
  <c r="E20" i="8"/>
  <c r="F22" i="8"/>
  <c r="F14" i="8"/>
  <c r="F15" i="8"/>
  <c r="F16" i="8"/>
  <c r="F17" i="8"/>
  <c r="F18" i="8"/>
  <c r="F19" i="8"/>
  <c r="F20" i="8"/>
  <c r="C18" i="13"/>
  <c r="C79" i="12"/>
  <c r="C77" i="12"/>
  <c r="D77" i="12"/>
  <c r="E77" i="12"/>
  <c r="C78" i="12"/>
  <c r="D68" i="11"/>
  <c r="D69" i="11"/>
  <c r="B61" i="11"/>
  <c r="C61" i="11"/>
  <c r="D61" i="11"/>
  <c r="D62" i="11"/>
  <c r="D60" i="11"/>
  <c r="D70" i="11"/>
  <c r="D71" i="11"/>
  <c r="B71" i="11"/>
  <c r="C71" i="11"/>
  <c r="B80" i="11"/>
  <c r="C41" i="8"/>
  <c r="E41" i="8"/>
  <c r="C42" i="8"/>
  <c r="D42" i="8"/>
  <c r="E42" i="8"/>
  <c r="E44" i="8"/>
  <c r="F46" i="8"/>
  <c r="F42" i="8"/>
  <c r="G42" i="8"/>
  <c r="B81" i="11"/>
  <c r="C53" i="8"/>
  <c r="D53" i="8"/>
  <c r="E53" i="8"/>
  <c r="C54" i="8"/>
  <c r="I38" i="7"/>
  <c r="D54" i="8"/>
  <c r="E54" i="8"/>
  <c r="C55" i="8"/>
  <c r="D55" i="8"/>
  <c r="E55" i="8"/>
  <c r="C56" i="8"/>
  <c r="I40" i="7"/>
  <c r="D56" i="8"/>
  <c r="E56" i="8"/>
  <c r="C57" i="8"/>
  <c r="I41" i="7"/>
  <c r="D57" i="8"/>
  <c r="E57" i="8"/>
  <c r="C58" i="8"/>
  <c r="I42" i="7"/>
  <c r="D58" i="8"/>
  <c r="E58" i="8"/>
  <c r="E60" i="8"/>
  <c r="F62" i="8"/>
  <c r="F54" i="8"/>
  <c r="G54" i="8"/>
  <c r="B82" i="11"/>
  <c r="B83" i="11"/>
  <c r="G17" i="8"/>
  <c r="B84" i="11"/>
  <c r="B88" i="11"/>
  <c r="D78" i="12"/>
  <c r="E78" i="12"/>
  <c r="D79" i="12"/>
  <c r="C88" i="12"/>
  <c r="C19" i="13"/>
  <c r="C20" i="13"/>
  <c r="C4" i="13"/>
  <c r="D18" i="13"/>
  <c r="E18" i="13"/>
  <c r="F18" i="13"/>
  <c r="G18" i="13"/>
  <c r="C5" i="13"/>
  <c r="C9" i="13"/>
  <c r="C21" i="13"/>
  <c r="C22" i="13"/>
  <c r="C80" i="11"/>
  <c r="F41" i="8"/>
  <c r="G41" i="8"/>
  <c r="C81" i="11"/>
  <c r="F53" i="8"/>
  <c r="G53" i="8"/>
  <c r="C82" i="11"/>
  <c r="C85" i="11"/>
  <c r="G14" i="8"/>
  <c r="C86" i="11"/>
  <c r="C88" i="11"/>
  <c r="C83" i="12"/>
  <c r="D88" i="12"/>
  <c r="D19" i="13"/>
  <c r="D20" i="13"/>
  <c r="C10" i="13"/>
  <c r="D21" i="13"/>
  <c r="D22" i="13"/>
  <c r="D80" i="11"/>
  <c r="D81" i="11"/>
  <c r="F56" i="8"/>
  <c r="G56" i="8"/>
  <c r="D82" i="11"/>
  <c r="D83" i="11"/>
  <c r="G18" i="8"/>
  <c r="D84" i="11"/>
  <c r="D88" i="11"/>
  <c r="D83" i="12"/>
  <c r="E88" i="12"/>
  <c r="E19" i="13"/>
  <c r="E20" i="13"/>
  <c r="C11" i="13"/>
  <c r="E21" i="13"/>
  <c r="E22" i="13"/>
  <c r="E80" i="11"/>
  <c r="E81" i="11"/>
  <c r="F55" i="8"/>
  <c r="G55" i="8"/>
  <c r="E82" i="11"/>
  <c r="E85" i="11"/>
  <c r="G15" i="8"/>
  <c r="E86" i="11"/>
  <c r="E88" i="11"/>
  <c r="E83" i="12"/>
  <c r="F88" i="12"/>
  <c r="F19" i="13"/>
  <c r="F20" i="13"/>
  <c r="C12" i="13"/>
  <c r="F21" i="13"/>
  <c r="F22" i="13"/>
  <c r="G22" i="13"/>
  <c r="D23" i="13"/>
  <c r="E23" i="13"/>
  <c r="F23" i="13"/>
  <c r="C23" i="13"/>
  <c r="G21" i="13"/>
  <c r="C13" i="13"/>
  <c r="G19" i="13"/>
  <c r="G20" i="13"/>
  <c r="E46" i="11"/>
  <c r="C46" i="11"/>
  <c r="D44" i="11"/>
  <c r="B44" i="11"/>
  <c r="B22" i="11"/>
  <c r="F31" i="10"/>
  <c r="D31" i="10"/>
  <c r="E29" i="10"/>
  <c r="C29" i="10"/>
  <c r="F25" i="9"/>
  <c r="D25" i="9"/>
  <c r="E23" i="9"/>
  <c r="C23" i="9"/>
  <c r="E79" i="12"/>
  <c r="D28" i="11"/>
  <c r="C22" i="11"/>
  <c r="D22" i="11"/>
  <c r="D23" i="11"/>
  <c r="D21" i="11"/>
  <c r="B20" i="11"/>
  <c r="B13" i="11"/>
  <c r="C13" i="11"/>
  <c r="D13" i="11"/>
  <c r="D14" i="11"/>
  <c r="D15" i="11"/>
  <c r="B15" i="11"/>
  <c r="C15" i="11"/>
  <c r="C20" i="11"/>
  <c r="D20" i="11"/>
  <c r="D24" i="11"/>
  <c r="B24" i="11"/>
  <c r="C24" i="11"/>
  <c r="C29" i="11"/>
  <c r="B29" i="11"/>
  <c r="D29" i="11"/>
  <c r="D30" i="11"/>
  <c r="B30" i="11"/>
  <c r="C30" i="11"/>
  <c r="B40" i="11"/>
  <c r="B41" i="11"/>
  <c r="B42" i="11"/>
  <c r="B43" i="11"/>
  <c r="B48" i="11"/>
  <c r="D55" i="12"/>
  <c r="C55" i="12"/>
  <c r="E55" i="12"/>
  <c r="C54" i="12"/>
  <c r="D54" i="12"/>
  <c r="E54" i="12"/>
  <c r="D56" i="12"/>
  <c r="C56" i="12"/>
  <c r="E56" i="12"/>
  <c r="E14" i="10"/>
  <c r="C9" i="10"/>
  <c r="D9" i="10"/>
  <c r="E9" i="10"/>
  <c r="E15" i="10"/>
  <c r="E16" i="10"/>
  <c r="C16" i="10"/>
  <c r="D16" i="10"/>
  <c r="C25" i="10"/>
  <c r="C26" i="10"/>
  <c r="C27" i="10"/>
  <c r="C28" i="10"/>
  <c r="C33" i="10"/>
  <c r="D32" i="12"/>
  <c r="C32" i="12"/>
  <c r="E32" i="12"/>
  <c r="C31" i="12"/>
  <c r="D31" i="12"/>
  <c r="E31" i="12"/>
  <c r="D33" i="12"/>
  <c r="C33" i="12"/>
  <c r="E33" i="12"/>
  <c r="C20" i="9"/>
  <c r="C21" i="9"/>
  <c r="C22" i="9"/>
  <c r="C27" i="9"/>
  <c r="D8" i="12"/>
  <c r="C8" i="12"/>
  <c r="E8" i="12"/>
  <c r="C7" i="12"/>
  <c r="D7" i="12"/>
  <c r="E7" i="12"/>
  <c r="D9" i="12"/>
  <c r="C9" i="12"/>
  <c r="E9" i="12"/>
  <c r="H90" i="12"/>
  <c r="H67" i="12"/>
  <c r="G65" i="12"/>
  <c r="G42" i="12"/>
  <c r="C17" i="12"/>
  <c r="D17" i="12"/>
  <c r="E17" i="12"/>
  <c r="F17" i="12"/>
  <c r="G17" i="12"/>
  <c r="C18" i="12"/>
  <c r="D19" i="9"/>
  <c r="D20" i="9"/>
  <c r="D21" i="9"/>
  <c r="D24" i="9"/>
  <c r="D27" i="9"/>
  <c r="C13" i="12"/>
  <c r="D18" i="12"/>
  <c r="E19" i="9"/>
  <c r="E20" i="9"/>
  <c r="E21" i="9"/>
  <c r="E22" i="9"/>
  <c r="E27" i="9"/>
  <c r="D13" i="12"/>
  <c r="E18" i="12"/>
  <c r="F19" i="9"/>
  <c r="F20" i="9"/>
  <c r="F21" i="9"/>
  <c r="F24" i="9"/>
  <c r="F27" i="9"/>
  <c r="E13" i="12"/>
  <c r="F18" i="12"/>
  <c r="G18" i="12"/>
  <c r="G19" i="12"/>
  <c r="G20" i="12"/>
  <c r="G21" i="12"/>
  <c r="F44" i="8"/>
  <c r="D63" i="11"/>
  <c r="B63" i="11"/>
  <c r="C63" i="11"/>
  <c r="F83" i="12"/>
  <c r="B69" i="11"/>
  <c r="C69" i="11"/>
  <c r="C87" i="12"/>
  <c r="D87" i="12"/>
  <c r="E87" i="12"/>
  <c r="F87" i="12"/>
  <c r="H87" i="12"/>
  <c r="H88" i="12"/>
  <c r="H89" i="12"/>
  <c r="H91" i="12"/>
  <c r="G89" i="12"/>
  <c r="F89" i="12"/>
  <c r="E89" i="12"/>
  <c r="D89" i="12"/>
  <c r="C89" i="12"/>
  <c r="E40" i="11"/>
  <c r="E42" i="11"/>
  <c r="E41" i="11"/>
  <c r="E45" i="11"/>
  <c r="E48" i="11"/>
  <c r="E60" i="12"/>
  <c r="F65" i="12"/>
  <c r="D40" i="11"/>
  <c r="D42" i="11"/>
  <c r="D41" i="11"/>
  <c r="D43" i="11"/>
  <c r="D48" i="11"/>
  <c r="D60" i="12"/>
  <c r="E65" i="12"/>
  <c r="C40" i="11"/>
  <c r="C42" i="11"/>
  <c r="C41" i="11"/>
  <c r="C45" i="11"/>
  <c r="C48" i="11"/>
  <c r="C60" i="12"/>
  <c r="D65" i="12"/>
  <c r="C65" i="12"/>
  <c r="G64" i="12"/>
  <c r="F64" i="12"/>
  <c r="E64" i="12"/>
  <c r="D64" i="12"/>
  <c r="C64" i="12"/>
  <c r="H64" i="12"/>
  <c r="H65" i="12"/>
  <c r="H66" i="12"/>
  <c r="H68" i="12"/>
  <c r="G66" i="12"/>
  <c r="F66" i="12"/>
  <c r="E66" i="12"/>
  <c r="D66" i="12"/>
  <c r="C66" i="12"/>
  <c r="H44" i="12"/>
  <c r="G41" i="12"/>
  <c r="F27" i="10"/>
  <c r="F25" i="10"/>
  <c r="F26" i="10"/>
  <c r="F30" i="10"/>
  <c r="F33" i="10"/>
  <c r="E37" i="12"/>
  <c r="F42" i="12"/>
  <c r="E27" i="10"/>
  <c r="E25" i="10"/>
  <c r="E26" i="10"/>
  <c r="E28" i="10"/>
  <c r="E33" i="10"/>
  <c r="D37" i="12"/>
  <c r="E42" i="12"/>
  <c r="D27" i="10"/>
  <c r="D25" i="10"/>
  <c r="D26" i="10"/>
  <c r="D30" i="10"/>
  <c r="D33" i="10"/>
  <c r="C37" i="12"/>
  <c r="D42" i="12"/>
  <c r="C42" i="12"/>
  <c r="F41" i="12"/>
  <c r="E41" i="12"/>
  <c r="D41" i="12"/>
  <c r="C41" i="12"/>
  <c r="H41" i="12"/>
  <c r="H42" i="12"/>
  <c r="H43" i="12"/>
  <c r="H45" i="12"/>
  <c r="G43" i="12"/>
  <c r="F43" i="12"/>
  <c r="E43" i="12"/>
  <c r="D43" i="12"/>
  <c r="C43" i="12"/>
  <c r="D19" i="12"/>
  <c r="E19" i="12"/>
  <c r="F19" i="12"/>
  <c r="C19" i="12"/>
  <c r="C6" i="12"/>
  <c r="F60" i="12"/>
  <c r="F58" i="8"/>
  <c r="G58" i="8"/>
  <c r="F82" i="11"/>
  <c r="F81" i="11"/>
  <c r="F80" i="11"/>
  <c r="F88" i="11"/>
  <c r="F42" i="11"/>
  <c r="F41" i="11"/>
  <c r="F40" i="11"/>
  <c r="F48" i="11"/>
  <c r="G27" i="10"/>
  <c r="G26" i="10"/>
  <c r="G25" i="10"/>
  <c r="G33" i="10"/>
  <c r="D15" i="10"/>
  <c r="C15" i="10"/>
  <c r="G21" i="9"/>
  <c r="G20" i="9"/>
  <c r="G19" i="9"/>
  <c r="G27" i="9"/>
  <c r="F57" i="8"/>
  <c r="G57" i="8"/>
  <c r="F60" i="8"/>
  <c r="E7" i="8"/>
  <c r="I27" i="7"/>
  <c r="I25" i="7"/>
  <c r="D11" i="7"/>
  <c r="D12" i="7"/>
</calcChain>
</file>

<file path=xl/sharedStrings.xml><?xml version="1.0" encoding="utf-8"?>
<sst xmlns="http://schemas.openxmlformats.org/spreadsheetml/2006/main" count="425" uniqueCount="173">
  <si>
    <t>Leche</t>
  </si>
  <si>
    <t>Cuajo</t>
  </si>
  <si>
    <t>Existencias iniciales</t>
  </si>
  <si>
    <t>INVENTARIO DE LA LECHE</t>
  </si>
  <si>
    <t>CONSUMO</t>
  </si>
  <si>
    <t>COSTE CONJUNTO</t>
  </si>
  <si>
    <t>TOTAL</t>
  </si>
  <si>
    <t>REPARTO COSTE APROVISIONAMIENTO ENVASES</t>
  </si>
  <si>
    <t>PRECIO</t>
  </si>
  <si>
    <t>Queso semicurado 2 kg</t>
  </si>
  <si>
    <t>Queso curado 1/2 kg</t>
  </si>
  <si>
    <t>Queso semicurado 1/2 kg</t>
  </si>
  <si>
    <t>Queso curado 2 kg</t>
  </si>
  <si>
    <t>SUPLEMENTO COSTE APROVISIONAMIENTO</t>
  </si>
  <si>
    <t>ENVASES</t>
  </si>
  <si>
    <t>COSTE</t>
  </si>
  <si>
    <t>COSTE APROVISIONAMIENTO ENVASES 2 KG</t>
  </si>
  <si>
    <t>Tarrinas empleadas</t>
  </si>
  <si>
    <t>Ventas</t>
  </si>
  <si>
    <t>COSTE DEL SUERO</t>
  </si>
  <si>
    <t>U.M.</t>
  </si>
  <si>
    <t>U.C.</t>
  </si>
  <si>
    <t>COSTE DE LA CUAJADA</t>
  </si>
  <si>
    <t>CANTIDAD</t>
  </si>
  <si>
    <t>TRATADA</t>
  </si>
  <si>
    <t>CIFRA</t>
  </si>
  <si>
    <t>EQUIVALENTE</t>
  </si>
  <si>
    <t>UNITARIO</t>
  </si>
  <si>
    <t>CENTRO MOLDEADO Y PRENSADO</t>
  </si>
  <si>
    <t>Q 2 Kg</t>
  </si>
  <si>
    <t>Q 1/2 Kg</t>
  </si>
  <si>
    <t>QS 2 Kg</t>
  </si>
  <si>
    <t>QS 1/2 Kg</t>
  </si>
  <si>
    <t>QC 2 Kg</t>
  </si>
  <si>
    <t>QC 1/2 Kg</t>
  </si>
  <si>
    <t>Cuajada</t>
  </si>
  <si>
    <t>Envase 2</t>
  </si>
  <si>
    <t>QS 2</t>
  </si>
  <si>
    <t>QS 1/2</t>
  </si>
  <si>
    <t>QC 2</t>
  </si>
  <si>
    <t>QC 1/2</t>
  </si>
  <si>
    <t>COSTE DE LOS QUESOS</t>
  </si>
  <si>
    <t>COSTE/U.C.</t>
  </si>
  <si>
    <t>C. APROV. T</t>
  </si>
  <si>
    <t>DENOMINACIÓN DE LOS CENTROS</t>
  </si>
  <si>
    <t>PRODUCCIÓN DEL PERIODO</t>
  </si>
  <si>
    <t>QUESO SEMICURADO</t>
  </si>
  <si>
    <t>QUESO CURADO</t>
  </si>
  <si>
    <r>
      <rPr>
        <sz val="11"/>
        <color theme="1"/>
        <rFont val="Calibri"/>
        <family val="2"/>
        <scheme val="minor"/>
      </rPr>
      <t xml:space="preserve">Medio kilo </t>
    </r>
    <r>
      <rPr>
        <b/>
        <sz val="11"/>
        <color theme="1"/>
        <rFont val="Calibri"/>
        <family val="2"/>
        <scheme val="minor"/>
      </rPr>
      <t>(QS 1/2)</t>
    </r>
  </si>
  <si>
    <r>
      <rPr>
        <sz val="11"/>
        <color theme="1"/>
        <rFont val="Calibri"/>
        <family val="2"/>
        <scheme val="minor"/>
      </rPr>
      <t>2 kilos</t>
    </r>
    <r>
      <rPr>
        <b/>
        <sz val="11"/>
        <color theme="1"/>
        <rFont val="Calibri"/>
        <family val="2"/>
        <scheme val="minor"/>
      </rPr>
      <t xml:space="preserve"> (QC 2)</t>
    </r>
  </si>
  <si>
    <r>
      <rPr>
        <sz val="11"/>
        <color theme="1"/>
        <rFont val="Calibri"/>
        <family val="2"/>
        <scheme val="minor"/>
      </rPr>
      <t>2 kilos</t>
    </r>
    <r>
      <rPr>
        <b/>
        <sz val="11"/>
        <color theme="1"/>
        <rFont val="Calibri"/>
        <family val="2"/>
        <scheme val="minor"/>
      </rPr>
      <t xml:space="preserve"> (QS 2)</t>
    </r>
  </si>
  <si>
    <r>
      <rPr>
        <sz val="11"/>
        <color theme="1"/>
        <rFont val="Calibri"/>
        <family val="2"/>
        <scheme val="minor"/>
      </rPr>
      <t xml:space="preserve">Medio kilo </t>
    </r>
    <r>
      <rPr>
        <b/>
        <sz val="11"/>
        <color theme="1"/>
        <rFont val="Calibri"/>
        <family val="2"/>
        <scheme val="minor"/>
      </rPr>
      <t>(QC 1/2)</t>
    </r>
  </si>
  <si>
    <t>Queso Semicurado de 2 Kgs. (QS 2)</t>
  </si>
  <si>
    <t>Queso Semicurado de 1/2 Kgs. (QS 1/2)</t>
  </si>
  <si>
    <t>Queso Curado de 2 Kgs. (QC 2)</t>
  </si>
  <si>
    <t>Queso Curado de 1/2 Kgs. (QC 1/2)</t>
  </si>
  <si>
    <t>Formato 1/2 Kg</t>
  </si>
  <si>
    <t>Formato 2 Kg</t>
  </si>
  <si>
    <t>Tarrinas</t>
  </si>
  <si>
    <t>COSTE ENVASES</t>
  </si>
  <si>
    <t>TIPOS DE QUESOS</t>
  </si>
  <si>
    <t xml:space="preserve">Suero (S) </t>
  </si>
  <si>
    <t>ESTADÍSTICA DE COSTES</t>
  </si>
  <si>
    <t>EXISTENCIAS Y VENTAS DE LOS QUESOS</t>
  </si>
  <si>
    <t>Aprovisionamiento de la Leche y el Cuajo</t>
  </si>
  <si>
    <t>Aprovisionamiento de los Envases</t>
  </si>
  <si>
    <t>Tratamiento de la Leche</t>
  </si>
  <si>
    <t>Moldeado y Prensado</t>
  </si>
  <si>
    <t>Maduración y Envasado</t>
  </si>
  <si>
    <t>Tratamiento del Suero</t>
  </si>
  <si>
    <t>QC 2 Kg SF</t>
  </si>
  <si>
    <t>QC 2 Kg SI</t>
  </si>
  <si>
    <t>EQUIVAL.</t>
  </si>
  <si>
    <t>CENTRO MADURACIÓN Y ENVASADO</t>
  </si>
  <si>
    <t>C. A. /U.C.</t>
  </si>
  <si>
    <t>72.000 u.c.</t>
  </si>
  <si>
    <t>COSTE UNITARIO</t>
  </si>
  <si>
    <t>UNIDADES VENDIDAS</t>
  </si>
  <si>
    <t>EXISTEN. INICIALES</t>
  </si>
  <si>
    <t>C.COMERC</t>
  </si>
  <si>
    <t>R</t>
  </si>
  <si>
    <t>Compras</t>
  </si>
  <si>
    <t>IMPORTE</t>
  </si>
  <si>
    <t>CONCEPTO</t>
  </si>
  <si>
    <t>COSTE CUAJO</t>
  </si>
  <si>
    <t xml:space="preserve">Comercial </t>
  </si>
  <si>
    <t>Tratamiento de la leche</t>
  </si>
  <si>
    <t>L.</t>
  </si>
  <si>
    <t>Cantidad</t>
  </si>
  <si>
    <t>Tipo</t>
  </si>
  <si>
    <t>Output</t>
  </si>
  <si>
    <t>Input</t>
  </si>
  <si>
    <t>FASE</t>
  </si>
  <si>
    <t>Cuajada (CJ)</t>
  </si>
  <si>
    <t>Suero (S)</t>
  </si>
  <si>
    <t>kg.</t>
  </si>
  <si>
    <t>Moldeado y prensado</t>
  </si>
  <si>
    <r>
      <t xml:space="preserve">Queso (Q </t>
    </r>
    <r>
      <rPr>
        <sz val="12"/>
        <color theme="1"/>
        <rFont val="Calibri"/>
        <family val="2"/>
        <scheme val="minor"/>
      </rPr>
      <t>1/2</t>
    </r>
    <r>
      <rPr>
        <sz val="11"/>
        <color theme="1"/>
        <rFont val="Calibri"/>
        <family val="2"/>
        <scheme val="minor"/>
      </rPr>
      <t>)</t>
    </r>
  </si>
  <si>
    <t xml:space="preserve">Queso (Q 2) </t>
  </si>
  <si>
    <t>u.c.</t>
  </si>
  <si>
    <t xml:space="preserve">Queso (Q 1/2) </t>
  </si>
  <si>
    <t>Queso (Q 2)</t>
  </si>
  <si>
    <t>Semicurado (QS 2)</t>
  </si>
  <si>
    <t>Semicurado (QS 1/2)</t>
  </si>
  <si>
    <t>Curado (QC 2)</t>
  </si>
  <si>
    <t>Curado (QC 1/2)</t>
  </si>
  <si>
    <t xml:space="preserve">Maduración y Envasado </t>
  </si>
  <si>
    <t>Tratamiento del suero</t>
  </si>
  <si>
    <t>Requesón (R)</t>
  </si>
  <si>
    <t>INFORMACIÓN FASES DE PRODUCCIÓN</t>
  </si>
  <si>
    <r>
      <t xml:space="preserve">Semielaborado (QC 2 </t>
    </r>
    <r>
      <rPr>
        <vertAlign val="subscript"/>
        <sz val="11"/>
        <color theme="1"/>
        <rFont val="Calibri"/>
        <family val="2"/>
        <scheme val="minor"/>
      </rPr>
      <t>SI</t>
    </r>
    <r>
      <rPr>
        <sz val="11"/>
        <color theme="1"/>
        <rFont val="Calibri"/>
        <family val="2"/>
        <scheme val="minor"/>
      </rPr>
      <t>)</t>
    </r>
  </si>
  <si>
    <r>
      <t xml:space="preserve">Semielaborado (QC 2 </t>
    </r>
    <r>
      <rPr>
        <vertAlign val="subscript"/>
        <sz val="11"/>
        <color theme="1"/>
        <rFont val="Calibri"/>
        <family val="2"/>
        <scheme val="minor"/>
      </rPr>
      <t>SF</t>
    </r>
    <r>
      <rPr>
        <sz val="11"/>
        <color theme="1"/>
        <rFont val="Calibri"/>
        <family val="2"/>
        <scheme val="minor"/>
      </rPr>
      <t>)</t>
    </r>
  </si>
  <si>
    <t>Consumo cuajada</t>
  </si>
  <si>
    <t>(Q 2)</t>
  </si>
  <si>
    <t>meses</t>
  </si>
  <si>
    <t>Tiempo</t>
  </si>
  <si>
    <t>mes</t>
  </si>
  <si>
    <t>Costes comerciales Requesón</t>
  </si>
  <si>
    <t>1. CÁLCULO DEL PRECIO DE CONSUMO DE LA LECHE</t>
  </si>
  <si>
    <t xml:space="preserve"> €/u.c.</t>
  </si>
  <si>
    <t>Requesón</t>
  </si>
  <si>
    <t>3. CÁLCULO DE LOS COSTES CONJUNTOS</t>
  </si>
  <si>
    <t>Aprovisionamiento Leche y Cuajo</t>
  </si>
  <si>
    <t>U.M./L.</t>
  </si>
  <si>
    <t>CENTRO TRATAMIENTO DE LA LECHE</t>
  </si>
  <si>
    <t>COSTE UNIDAD EQUIVALENTE</t>
  </si>
  <si>
    <t>1. CENTRO TRATAMIENTO DE LA LECHE</t>
  </si>
  <si>
    <t>4. CENTRO MOLDEADO Y PRENSADO</t>
  </si>
  <si>
    <t>5. CENTRO MADURACIÓN Y ENVASADO</t>
  </si>
  <si>
    <t>C. Moldeado y prensado</t>
  </si>
  <si>
    <t>C. Maduración y Envasado</t>
  </si>
  <si>
    <t>COSTE APROVISIONAMIENTO ENVASES 1/2 KG</t>
  </si>
  <si>
    <t>C. Aprovisionamiento Envases 1/2</t>
  </si>
  <si>
    <t xml:space="preserve">Envase 1/2 </t>
  </si>
  <si>
    <t>C. Aprovisionamiento Envases 2</t>
  </si>
  <si>
    <t>2. CÁLCULO DEL COSTE UNITARIO DE PRODUCCIÓN</t>
  </si>
  <si>
    <t>COSTE UNITARIO PRODUCCIÓN</t>
  </si>
  <si>
    <t>Suero producido</t>
  </si>
  <si>
    <t xml:space="preserve">PRECIO DE VENTA </t>
  </si>
  <si>
    <t>COSTE DEL REQUESÓN</t>
  </si>
  <si>
    <t>Ingreso Requesón</t>
  </si>
  <si>
    <t>Costes específicos comerciales</t>
  </si>
  <si>
    <t>COSTE PRODUCCIÓN REQUESÓN</t>
  </si>
  <si>
    <t>1. CENTRO TRATAMIENTO SUERO</t>
  </si>
  <si>
    <t>Costes autónomos</t>
  </si>
  <si>
    <t>C. Tratamiento del Suero</t>
  </si>
  <si>
    <t>VALORACIÓN DEL REQUESÓN A COSTES AUTÓNOMOS</t>
  </si>
  <si>
    <t>REQUESÓN</t>
  </si>
  <si>
    <t>2. CÁLCULO DEL COSTE UNITARIO DE PRODUCCIÓN QUESOS</t>
  </si>
  <si>
    <t>Ingreso</t>
  </si>
  <si>
    <t>Costes ventas</t>
  </si>
  <si>
    <t>INVENTARIO QUESO SEMICURADO 1/2 KG</t>
  </si>
  <si>
    <t>Producción</t>
  </si>
  <si>
    <t>Coste unitario producción</t>
  </si>
  <si>
    <t>Margen fabricación</t>
  </si>
  <si>
    <t>Coste comercial</t>
  </si>
  <si>
    <t>Margen comercial</t>
  </si>
  <si>
    <t>Suero</t>
  </si>
  <si>
    <t>RENTABILIDAD SI EL SUERO SE TRATA COMO DESPERDICIO</t>
  </si>
  <si>
    <t>Requesón (R) por cada tarrina de 250 grs.</t>
  </si>
  <si>
    <t>COSTE UNITARIO DE PRODUCCIÓN DE LOS QUESOS SI EL SUERO SE CONSIDERA DESPERDICIO</t>
  </si>
  <si>
    <t>COSTE UNITARIO DE PRODUCCIÓN DE LOS QUESOS SI EL SUERO SE VENDE COMO UN RESIDUO (PUNTO DE SEPARACIÓN)</t>
  </si>
  <si>
    <t>COSTE UNITARIO DE PRODUCCIÓN DE LOS QUESOS SI EL SUERO SE SOMETE A TRATAMIENTO POSTERIOR PARA SER VENDIDO</t>
  </si>
  <si>
    <t>Coste del Requesón</t>
  </si>
  <si>
    <t>VALORACIÓN DEL REQUESÓN POR EL INGRESO NETO DE COSTES COMERCIALES</t>
  </si>
  <si>
    <t>Ingreso neto Requesón</t>
  </si>
  <si>
    <t>RENTABILIDAD SI EL SUERO SE TRATA COMO RESIDUO QUE SE VENDE EN PUNTO DE SEPARACIÓN</t>
  </si>
  <si>
    <t>RENTABILIDAD SI EL SUERO SE TRATA COMO SUBPRODUCTO Y SE VALORA A SU INGRESO NETO DE COSTES COMERCIALES</t>
  </si>
  <si>
    <t>RENTABILIDAD SI EL SUERO SE TRATA COMO SUBPRODUCTO Y SE VALORA A COSTES AUTÓNOMOS</t>
  </si>
  <si>
    <t>2. REPARTO DEL COSTE DE APROVISIONAMIENTO ENVASES DE QUESOS</t>
  </si>
  <si>
    <t>Suplemento costes comerciales</t>
  </si>
  <si>
    <t>% Margen comercial</t>
  </si>
  <si>
    <t>SUERO CONSUMIDO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</si>
</sst>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-* #,##0.000\ _€_-;\-* #,##0.000\ _€_-;_-* &quot;-&quot;??\ _€_-;_-@_-"/>
    <numFmt numFmtId="166" formatCode="#,##0.000"/>
    <numFmt numFmtId="167" formatCode="#,##0.0000"/>
    <numFmt numFmtId="168" formatCode="0.000"/>
    <numFmt numFmtId="169" formatCode="0.0000"/>
    <numFmt numFmtId="170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481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D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0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164" fontId="0" fillId="0" borderId="0" xfId="1" applyFont="1" applyBorder="1"/>
    <xf numFmtId="0" fontId="0" fillId="0" borderId="18" xfId="0" applyBorder="1"/>
    <xf numFmtId="164" fontId="0" fillId="0" borderId="0" xfId="0" applyNumberFormat="1"/>
    <xf numFmtId="0" fontId="0" fillId="0" borderId="16" xfId="0" applyFill="1" applyBorder="1"/>
    <xf numFmtId="0" fontId="0" fillId="0" borderId="6" xfId="0" applyBorder="1"/>
    <xf numFmtId="0" fontId="2" fillId="0" borderId="16" xfId="0" applyFont="1" applyBorder="1" applyAlignment="1">
      <alignment horizontal="center"/>
    </xf>
    <xf numFmtId="0" fontId="0" fillId="0" borderId="4" xfId="0" applyFill="1" applyBorder="1"/>
    <xf numFmtId="164" fontId="0" fillId="0" borderId="1" xfId="1" applyFont="1" applyFill="1" applyBorder="1" applyAlignment="1">
      <alignment horizontal="center"/>
    </xf>
    <xf numFmtId="0" fontId="2" fillId="6" borderId="6" xfId="0" applyFont="1" applyFill="1" applyBorder="1"/>
    <xf numFmtId="2" fontId="2" fillId="4" borderId="7" xfId="0" applyNumberFormat="1" applyFont="1" applyFill="1" applyBorder="1" applyAlignment="1">
      <alignment horizontal="center"/>
    </xf>
    <xf numFmtId="0" fontId="0" fillId="0" borderId="0" xfId="0" applyBorder="1"/>
    <xf numFmtId="0" fontId="2" fillId="10" borderId="31" xfId="0" applyFont="1" applyFill="1" applyBorder="1" applyAlignment="1">
      <alignment horizontal="center"/>
    </xf>
    <xf numFmtId="0" fontId="0" fillId="11" borderId="4" xfId="0" applyFill="1" applyBorder="1"/>
    <xf numFmtId="0" fontId="0" fillId="11" borderId="5" xfId="0" applyFill="1" applyBorder="1" applyAlignment="1">
      <alignment horizontal="center"/>
    </xf>
    <xf numFmtId="0" fontId="0" fillId="11" borderId="4" xfId="0" applyFill="1" applyBorder="1" applyAlignment="1">
      <alignment horizontal="justify" vertical="center"/>
    </xf>
    <xf numFmtId="0" fontId="0" fillId="11" borderId="6" xfId="0" applyFill="1" applyBorder="1"/>
    <xf numFmtId="0" fontId="0" fillId="11" borderId="8" xfId="0" applyFill="1" applyBorder="1" applyAlignment="1">
      <alignment horizontal="center"/>
    </xf>
    <xf numFmtId="4" fontId="0" fillId="0" borderId="1" xfId="1" applyNumberFormat="1" applyFont="1" applyBorder="1" applyAlignment="1">
      <alignment horizontal="center" vertical="center"/>
    </xf>
    <xf numFmtId="4" fontId="0" fillId="0" borderId="5" xfId="1" applyNumberFormat="1" applyFont="1" applyBorder="1" applyAlignment="1">
      <alignment horizontal="center" vertical="center"/>
    </xf>
    <xf numFmtId="4" fontId="0" fillId="0" borderId="19" xfId="1" applyNumberFormat="1" applyFont="1" applyBorder="1" applyAlignment="1">
      <alignment horizontal="center" vertical="center"/>
    </xf>
    <xf numFmtId="4" fontId="0" fillId="0" borderId="20" xfId="1" applyNumberFormat="1" applyFont="1" applyBorder="1" applyAlignment="1">
      <alignment horizontal="center" vertical="center"/>
    </xf>
    <xf numFmtId="0" fontId="0" fillId="0" borderId="10" xfId="0" applyBorder="1"/>
    <xf numFmtId="4" fontId="0" fillId="0" borderId="2" xfId="1" applyNumberFormat="1" applyFont="1" applyBorder="1" applyAlignment="1">
      <alignment horizontal="center" vertical="center"/>
    </xf>
    <xf numFmtId="4" fontId="0" fillId="0" borderId="11" xfId="1" applyNumberFormat="1" applyFont="1" applyBorder="1" applyAlignment="1">
      <alignment horizontal="center" vertical="center"/>
    </xf>
    <xf numFmtId="167" fontId="0" fillId="0" borderId="2" xfId="1" applyNumberFormat="1" applyFont="1" applyBorder="1" applyAlignment="1">
      <alignment horizontal="center" vertical="center"/>
    </xf>
    <xf numFmtId="166" fontId="0" fillId="0" borderId="2" xfId="1" applyNumberFormat="1" applyFont="1" applyBorder="1" applyAlignment="1">
      <alignment horizontal="center" vertical="center"/>
    </xf>
    <xf numFmtId="164" fontId="0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11" borderId="3" xfId="0" applyFill="1" applyBorder="1" applyAlignment="1">
      <alignment horizontal="center"/>
    </xf>
    <xf numFmtId="0" fontId="0" fillId="11" borderId="36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2" fillId="10" borderId="38" xfId="0" applyFont="1" applyFill="1" applyBorder="1" applyAlignment="1">
      <alignment horizontal="center"/>
    </xf>
    <xf numFmtId="0" fontId="0" fillId="9" borderId="12" xfId="0" applyFill="1" applyBorder="1"/>
    <xf numFmtId="4" fontId="0" fillId="9" borderId="23" xfId="1" applyNumberFormat="1" applyFont="1" applyFill="1" applyBorder="1" applyAlignment="1">
      <alignment horizontal="center"/>
    </xf>
    <xf numFmtId="0" fontId="0" fillId="11" borderId="35" xfId="0" applyFill="1" applyBorder="1"/>
    <xf numFmtId="0" fontId="0" fillId="11" borderId="39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4" fontId="0" fillId="0" borderId="0" xfId="0" applyNumberFormat="1"/>
    <xf numFmtId="4" fontId="0" fillId="0" borderId="0" xfId="1" applyNumberFormat="1" applyFont="1" applyBorder="1" applyAlignment="1">
      <alignment horizontal="center" vertical="center"/>
    </xf>
    <xf numFmtId="167" fontId="0" fillId="0" borderId="11" xfId="1" applyNumberFormat="1" applyFont="1" applyBorder="1" applyAlignment="1">
      <alignment horizontal="center" vertical="center"/>
    </xf>
    <xf numFmtId="4" fontId="0" fillId="0" borderId="0" xfId="1" applyNumberFormat="1" applyFont="1" applyFill="1" applyBorder="1" applyAlignment="1">
      <alignment horizontal="center"/>
    </xf>
    <xf numFmtId="4" fontId="0" fillId="0" borderId="1" xfId="1" applyNumberFormat="1" applyFont="1" applyBorder="1" applyAlignment="1">
      <alignment horizontal="center"/>
    </xf>
    <xf numFmtId="4" fontId="0" fillId="0" borderId="5" xfId="1" applyNumberFormat="1" applyFont="1" applyBorder="1" applyAlignment="1">
      <alignment horizontal="center"/>
    </xf>
    <xf numFmtId="0" fontId="0" fillId="11" borderId="41" xfId="0" applyFill="1" applyBorder="1"/>
    <xf numFmtId="0" fontId="0" fillId="11" borderId="42" xfId="0" applyFill="1" applyBorder="1"/>
    <xf numFmtId="0" fontId="0" fillId="11" borderId="40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" fillId="5" borderId="21" xfId="0" applyFont="1" applyFill="1" applyBorder="1"/>
    <xf numFmtId="4" fontId="0" fillId="0" borderId="19" xfId="1" applyNumberFormat="1" applyFont="1" applyBorder="1" applyAlignment="1">
      <alignment horizontal="center"/>
    </xf>
    <xf numFmtId="4" fontId="0" fillId="0" borderId="20" xfId="1" applyNumberFormat="1" applyFont="1" applyBorder="1" applyAlignment="1">
      <alignment horizontal="center"/>
    </xf>
    <xf numFmtId="4" fontId="2" fillId="6" borderId="7" xfId="1" applyNumberFormat="1" applyFont="1" applyFill="1" applyBorder="1" applyAlignment="1">
      <alignment horizontal="center"/>
    </xf>
    <xf numFmtId="166" fontId="0" fillId="0" borderId="1" xfId="1" applyNumberFormat="1" applyFont="1" applyBorder="1" applyAlignment="1">
      <alignment horizontal="center"/>
    </xf>
    <xf numFmtId="4" fontId="0" fillId="0" borderId="7" xfId="1" applyNumberFormat="1" applyFont="1" applyBorder="1" applyAlignment="1">
      <alignment horizontal="center" vertical="center"/>
    </xf>
    <xf numFmtId="4" fontId="0" fillId="0" borderId="26" xfId="1" applyNumberFormat="1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/>
    </xf>
    <xf numFmtId="164" fontId="2" fillId="8" borderId="1" xfId="1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2" fontId="0" fillId="8" borderId="1" xfId="1" applyNumberFormat="1" applyFont="1" applyFill="1" applyBorder="1" applyAlignment="1">
      <alignment horizontal="center"/>
    </xf>
    <xf numFmtId="0" fontId="0" fillId="8" borderId="4" xfId="0" applyFill="1" applyBorder="1"/>
    <xf numFmtId="2" fontId="0" fillId="8" borderId="5" xfId="1" applyNumberFormat="1" applyFont="1" applyFill="1" applyBorder="1" applyAlignment="1">
      <alignment horizontal="center"/>
    </xf>
    <xf numFmtId="168" fontId="0" fillId="8" borderId="1" xfId="1" applyNumberFormat="1" applyFont="1" applyFill="1" applyBorder="1" applyAlignment="1">
      <alignment horizontal="center"/>
    </xf>
    <xf numFmtId="168" fontId="0" fillId="8" borderId="5" xfId="1" applyNumberFormat="1" applyFont="1" applyFill="1" applyBorder="1" applyAlignment="1">
      <alignment horizontal="center"/>
    </xf>
    <xf numFmtId="169" fontId="0" fillId="8" borderId="1" xfId="1" applyNumberFormat="1" applyFont="1" applyFill="1" applyBorder="1" applyAlignment="1">
      <alignment horizontal="center"/>
    </xf>
    <xf numFmtId="0" fontId="2" fillId="8" borderId="12" xfId="0" applyFont="1" applyFill="1" applyBorder="1"/>
    <xf numFmtId="0" fontId="0" fillId="9" borderId="4" xfId="0" applyFill="1" applyBorder="1"/>
    <xf numFmtId="164" fontId="0" fillId="0" borderId="16" xfId="1" applyFont="1" applyFill="1" applyBorder="1"/>
    <xf numFmtId="164" fontId="0" fillId="0" borderId="0" xfId="1" applyFont="1" applyFill="1" applyBorder="1"/>
    <xf numFmtId="0" fontId="0" fillId="0" borderId="17" xfId="0" applyFill="1" applyBorder="1"/>
    <xf numFmtId="165" fontId="0" fillId="0" borderId="0" xfId="0" applyNumberFormat="1" applyFill="1" applyBorder="1"/>
    <xf numFmtId="165" fontId="0" fillId="0" borderId="0" xfId="1" applyNumberFormat="1" applyFont="1" applyFill="1" applyBorder="1"/>
    <xf numFmtId="165" fontId="0" fillId="0" borderId="17" xfId="0" applyNumberFormat="1" applyFill="1" applyBorder="1"/>
    <xf numFmtId="4" fontId="2" fillId="4" borderId="8" xfId="1" applyNumberFormat="1" applyFont="1" applyFill="1" applyBorder="1" applyAlignment="1">
      <alignment horizontal="center"/>
    </xf>
    <xf numFmtId="4" fontId="2" fillId="5" borderId="8" xfId="1" applyNumberFormat="1" applyFont="1" applyFill="1" applyBorder="1" applyAlignment="1">
      <alignment horizontal="center"/>
    </xf>
    <xf numFmtId="4" fontId="2" fillId="6" borderId="8" xfId="1" applyNumberFormat="1" applyFont="1" applyFill="1" applyBorder="1" applyAlignment="1">
      <alignment horizontal="center"/>
    </xf>
    <xf numFmtId="4" fontId="2" fillId="4" borderId="23" xfId="1" applyNumberFormat="1" applyFont="1" applyFill="1" applyBorder="1" applyAlignment="1">
      <alignment horizontal="center"/>
    </xf>
    <xf numFmtId="4" fontId="2" fillId="5" borderId="23" xfId="1" applyNumberFormat="1" applyFont="1" applyFill="1" applyBorder="1" applyAlignment="1">
      <alignment horizontal="center"/>
    </xf>
    <xf numFmtId="0" fontId="2" fillId="6" borderId="21" xfId="0" applyFont="1" applyFill="1" applyBorder="1"/>
    <xf numFmtId="4" fontId="2" fillId="6" borderId="22" xfId="1" applyNumberFormat="1" applyFont="1" applyFill="1" applyBorder="1" applyAlignment="1">
      <alignment horizontal="center"/>
    </xf>
    <xf numFmtId="2" fontId="2" fillId="4" borderId="22" xfId="0" applyNumberFormat="1" applyFont="1" applyFill="1" applyBorder="1" applyAlignment="1">
      <alignment horizontal="center"/>
    </xf>
    <xf numFmtId="4" fontId="2" fillId="6" borderId="23" xfId="1" applyNumberFormat="1" applyFont="1" applyFill="1" applyBorder="1" applyAlignment="1">
      <alignment horizontal="center"/>
    </xf>
    <xf numFmtId="164" fontId="2" fillId="5" borderId="22" xfId="1" applyNumberFormat="1" applyFont="1" applyFill="1" applyBorder="1" applyAlignment="1">
      <alignment horizontal="center"/>
    </xf>
    <xf numFmtId="0" fontId="2" fillId="5" borderId="6" xfId="0" applyFont="1" applyFill="1" applyBorder="1"/>
    <xf numFmtId="164" fontId="0" fillId="0" borderId="0" xfId="1" applyFont="1" applyFill="1" applyBorder="1" applyAlignment="1">
      <alignment horizontal="center"/>
    </xf>
    <xf numFmtId="0" fontId="2" fillId="13" borderId="21" xfId="0" applyFont="1" applyFill="1" applyBorder="1"/>
    <xf numFmtId="4" fontId="2" fillId="13" borderId="13" xfId="1" applyNumberFormat="1" applyFont="1" applyFill="1" applyBorder="1" applyAlignment="1">
      <alignment horizontal="center" vertical="center"/>
    </xf>
    <xf numFmtId="4" fontId="2" fillId="13" borderId="23" xfId="1" applyNumberFormat="1" applyFont="1" applyFill="1" applyBorder="1" applyAlignment="1">
      <alignment horizontal="center" vertical="center"/>
    </xf>
    <xf numFmtId="0" fontId="2" fillId="13" borderId="12" xfId="0" applyFont="1" applyFill="1" applyBorder="1"/>
    <xf numFmtId="164" fontId="2" fillId="13" borderId="13" xfId="1" applyFont="1" applyFill="1" applyBorder="1"/>
    <xf numFmtId="167" fontId="2" fillId="13" borderId="23" xfId="1" applyNumberFormat="1" applyFont="1" applyFill="1" applyBorder="1" applyAlignment="1">
      <alignment horizontal="center" vertical="center"/>
    </xf>
    <xf numFmtId="0" fontId="2" fillId="13" borderId="13" xfId="0" applyFont="1" applyFill="1" applyBorder="1"/>
    <xf numFmtId="166" fontId="2" fillId="13" borderId="34" xfId="1" applyNumberFormat="1" applyFont="1" applyFill="1" applyBorder="1" applyAlignment="1">
      <alignment horizontal="center" vertical="center"/>
    </xf>
    <xf numFmtId="4" fontId="2" fillId="3" borderId="34" xfId="1" applyNumberFormat="1" applyFont="1" applyFill="1" applyBorder="1" applyAlignment="1">
      <alignment horizontal="center" vertical="center"/>
    </xf>
    <xf numFmtId="0" fontId="2" fillId="14" borderId="12" xfId="0" applyFont="1" applyFill="1" applyBorder="1"/>
    <xf numFmtId="164" fontId="2" fillId="14" borderId="13" xfId="1" applyFont="1" applyFill="1" applyBorder="1"/>
    <xf numFmtId="164" fontId="0" fillId="14" borderId="13" xfId="1" applyFont="1" applyFill="1" applyBorder="1"/>
    <xf numFmtId="4" fontId="2" fillId="14" borderId="34" xfId="1" applyNumberFormat="1" applyFont="1" applyFill="1" applyBorder="1" applyAlignment="1">
      <alignment horizontal="center" vertical="center"/>
    </xf>
    <xf numFmtId="4" fontId="0" fillId="8" borderId="5" xfId="1" applyNumberFormat="1" applyFont="1" applyFill="1" applyBorder="1" applyAlignment="1">
      <alignment horizontal="center"/>
    </xf>
    <xf numFmtId="4" fontId="0" fillId="9" borderId="5" xfId="1" applyNumberFormat="1" applyFont="1" applyFill="1" applyBorder="1" applyAlignment="1">
      <alignment horizontal="center"/>
    </xf>
    <xf numFmtId="0" fontId="0" fillId="9" borderId="6" xfId="0" applyFill="1" applyBorder="1"/>
    <xf numFmtId="4" fontId="0" fillId="9" borderId="8" xfId="1" applyNumberFormat="1" applyFont="1" applyFill="1" applyBorder="1" applyAlignment="1">
      <alignment horizontal="center"/>
    </xf>
    <xf numFmtId="0" fontId="0" fillId="11" borderId="48" xfId="0" applyFill="1" applyBorder="1" applyAlignment="1">
      <alignment horizontal="center"/>
    </xf>
    <xf numFmtId="0" fontId="0" fillId="11" borderId="49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4" fontId="0" fillId="16" borderId="5" xfId="1" applyNumberFormat="1" applyFont="1" applyFill="1" applyBorder="1" applyAlignment="1">
      <alignment horizontal="center"/>
    </xf>
    <xf numFmtId="0" fontId="0" fillId="11" borderId="10" xfId="0" applyFill="1" applyBorder="1" applyAlignment="1">
      <alignment horizontal="justify" vertical="center"/>
    </xf>
    <xf numFmtId="0" fontId="0" fillId="11" borderId="2" xfId="0" applyFill="1" applyBorder="1" applyAlignment="1">
      <alignment horizontal="center"/>
    </xf>
    <xf numFmtId="0" fontId="0" fillId="11" borderId="11" xfId="0" applyFill="1" applyBorder="1" applyAlignment="1">
      <alignment horizontal="center"/>
    </xf>
    <xf numFmtId="4" fontId="0" fillId="16" borderId="11" xfId="1" applyNumberFormat="1" applyFont="1" applyFill="1" applyBorder="1" applyAlignment="1">
      <alignment horizontal="center"/>
    </xf>
    <xf numFmtId="0" fontId="2" fillId="2" borderId="34" xfId="0" applyFont="1" applyFill="1" applyBorder="1" applyAlignment="1">
      <alignment horizontal="center"/>
    </xf>
    <xf numFmtId="0" fontId="0" fillId="16" borderId="4" xfId="0" applyFill="1" applyBorder="1"/>
    <xf numFmtId="0" fontId="0" fillId="16" borderId="10" xfId="0" applyFill="1" applyBorder="1"/>
    <xf numFmtId="0" fontId="2" fillId="2" borderId="1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16" borderId="18" xfId="0" applyFont="1" applyFill="1" applyBorder="1"/>
    <xf numFmtId="4" fontId="2" fillId="2" borderId="34" xfId="0" applyNumberFormat="1" applyFont="1" applyFill="1" applyBorder="1" applyAlignment="1">
      <alignment horizontal="center" vertical="center"/>
    </xf>
    <xf numFmtId="4" fontId="0" fillId="16" borderId="20" xfId="1" applyNumberFormat="1" applyFont="1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2" fillId="15" borderId="32" xfId="0" applyFont="1" applyFill="1" applyBorder="1" applyAlignment="1">
      <alignment horizontal="center"/>
    </xf>
    <xf numFmtId="0" fontId="2" fillId="15" borderId="33" xfId="0" applyFont="1" applyFill="1" applyBorder="1" applyAlignment="1">
      <alignment horizontal="center"/>
    </xf>
    <xf numFmtId="0" fontId="2" fillId="15" borderId="2" xfId="0" applyFont="1" applyFill="1" applyBorder="1" applyAlignment="1">
      <alignment horizontal="center"/>
    </xf>
    <xf numFmtId="0" fontId="2" fillId="15" borderId="11" xfId="0" applyFont="1" applyFill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5" xfId="0" applyFont="1" applyFill="1" applyBorder="1" applyAlignment="1">
      <alignment horizontal="center"/>
    </xf>
    <xf numFmtId="0" fontId="2" fillId="13" borderId="38" xfId="0" applyFont="1" applyFill="1" applyBorder="1" applyAlignment="1">
      <alignment horizontal="center"/>
    </xf>
    <xf numFmtId="0" fontId="2" fillId="13" borderId="47" xfId="0" applyFont="1" applyFill="1" applyBorder="1" applyAlignment="1">
      <alignment horizontal="center"/>
    </xf>
    <xf numFmtId="0" fontId="2" fillId="13" borderId="31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2" fillId="13" borderId="21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3" fontId="0" fillId="8" borderId="3" xfId="1" applyNumberFormat="1" applyFont="1" applyFill="1" applyBorder="1" applyAlignment="1">
      <alignment horizontal="center" vertical="center"/>
    </xf>
    <xf numFmtId="3" fontId="0" fillId="8" borderId="8" xfId="1" applyNumberFormat="1" applyFont="1" applyFill="1" applyBorder="1" applyAlignment="1">
      <alignment horizontal="center" vertical="center"/>
    </xf>
    <xf numFmtId="3" fontId="0" fillId="9" borderId="3" xfId="1" applyNumberFormat="1" applyFont="1" applyFill="1" applyBorder="1" applyAlignment="1">
      <alignment horizontal="center" vertical="center"/>
    </xf>
    <xf numFmtId="3" fontId="0" fillId="9" borderId="8" xfId="1" applyNumberFormat="1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8" xfId="1" applyNumberFormat="1" applyFont="1" applyBorder="1" applyAlignment="1">
      <alignment horizontal="center" vertical="center"/>
    </xf>
    <xf numFmtId="0" fontId="2" fillId="10" borderId="34" xfId="0" applyFont="1" applyFill="1" applyBorder="1" applyAlignment="1">
      <alignment horizontal="center"/>
    </xf>
    <xf numFmtId="0" fontId="0" fillId="8" borderId="24" xfId="0" applyFont="1" applyFill="1" applyBorder="1" applyAlignment="1">
      <alignment horizontal="center" vertical="center"/>
    </xf>
    <xf numFmtId="3" fontId="0" fillId="8" borderId="40" xfId="1" applyNumberFormat="1" applyFont="1" applyFill="1" applyBorder="1" applyAlignment="1">
      <alignment horizontal="right" vertical="center"/>
    </xf>
    <xf numFmtId="0" fontId="0" fillId="8" borderId="6" xfId="0" applyFont="1" applyFill="1" applyBorder="1" applyAlignment="1">
      <alignment horizontal="center" vertical="center"/>
    </xf>
    <xf numFmtId="3" fontId="0" fillId="8" borderId="49" xfId="1" applyNumberFormat="1" applyFont="1" applyFill="1" applyBorder="1" applyAlignment="1">
      <alignment horizontal="right" vertical="center"/>
    </xf>
    <xf numFmtId="0" fontId="0" fillId="8" borderId="62" xfId="0" applyFont="1" applyFill="1" applyBorder="1" applyAlignment="1">
      <alignment horizontal="center" vertical="center"/>
    </xf>
    <xf numFmtId="0" fontId="0" fillId="8" borderId="41" xfId="0" applyFont="1" applyFill="1" applyBorder="1" applyAlignment="1">
      <alignment horizontal="center" vertical="center"/>
    </xf>
    <xf numFmtId="0" fontId="0" fillId="8" borderId="53" xfId="0" applyFont="1" applyFill="1" applyBorder="1" applyAlignment="1">
      <alignment horizontal="center" vertical="center"/>
    </xf>
    <xf numFmtId="3" fontId="0" fillId="8" borderId="65" xfId="1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5" fillId="9" borderId="21" xfId="0" applyFont="1" applyFill="1" applyBorder="1"/>
    <xf numFmtId="4" fontId="5" fillId="9" borderId="23" xfId="1" applyNumberFormat="1" applyFont="1" applyFill="1" applyBorder="1" applyAlignment="1">
      <alignment horizontal="center"/>
    </xf>
    <xf numFmtId="0" fontId="0" fillId="17" borderId="15" xfId="0" applyFill="1" applyBorder="1" applyAlignment="1">
      <alignment horizontal="justify" vertical="center"/>
    </xf>
    <xf numFmtId="0" fontId="0" fillId="17" borderId="60" xfId="0" applyFill="1" applyBorder="1" applyAlignment="1">
      <alignment horizontal="left" vertical="center"/>
    </xf>
    <xf numFmtId="0" fontId="0" fillId="17" borderId="30" xfId="0" applyFill="1" applyBorder="1"/>
    <xf numFmtId="0" fontId="0" fillId="17" borderId="15" xfId="0" applyFill="1" applyBorder="1" applyAlignment="1"/>
    <xf numFmtId="0" fontId="0" fillId="17" borderId="56" xfId="0" applyFill="1" applyBorder="1" applyAlignment="1">
      <alignment horizontal="left"/>
    </xf>
    <xf numFmtId="0" fontId="0" fillId="17" borderId="60" xfId="0" applyFill="1" applyBorder="1" applyAlignment="1"/>
    <xf numFmtId="0" fontId="0" fillId="17" borderId="50" xfId="0" applyFill="1" applyBorder="1" applyAlignment="1">
      <alignment horizontal="left"/>
    </xf>
    <xf numFmtId="0" fontId="0" fillId="17" borderId="25" xfId="0" applyFill="1" applyBorder="1" applyAlignment="1"/>
    <xf numFmtId="0" fontId="0" fillId="17" borderId="26" xfId="0" applyFill="1" applyBorder="1" applyAlignment="1">
      <alignment horizontal="left"/>
    </xf>
    <xf numFmtId="166" fontId="0" fillId="0" borderId="0" xfId="0" applyNumberFormat="1"/>
    <xf numFmtId="0" fontId="0" fillId="17" borderId="14" xfId="0" applyFill="1" applyBorder="1" applyAlignment="1">
      <alignment horizontal="left"/>
    </xf>
    <xf numFmtId="0" fontId="0" fillId="17" borderId="12" xfId="0" applyFill="1" applyBorder="1" applyAlignment="1">
      <alignment horizontal="right"/>
    </xf>
    <xf numFmtId="4" fontId="2" fillId="13" borderId="12" xfId="1" applyNumberFormat="1" applyFont="1" applyFill="1" applyBorder="1" applyAlignment="1">
      <alignment horizontal="center" vertical="center"/>
    </xf>
    <xf numFmtId="4" fontId="2" fillId="13" borderId="14" xfId="1" applyNumberFormat="1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/>
    </xf>
    <xf numFmtId="4" fontId="1" fillId="0" borderId="17" xfId="1" applyNumberFormat="1" applyFont="1" applyBorder="1" applyAlignment="1">
      <alignment horizontal="center" vertical="center"/>
    </xf>
    <xf numFmtId="0" fontId="0" fillId="0" borderId="13" xfId="0" applyBorder="1"/>
    <xf numFmtId="0" fontId="2" fillId="0" borderId="12" xfId="0" applyFont="1" applyBorder="1"/>
    <xf numFmtId="4" fontId="0" fillId="0" borderId="21" xfId="1" applyNumberFormat="1" applyFont="1" applyBorder="1" applyAlignment="1">
      <alignment horizontal="center" vertical="center"/>
    </xf>
    <xf numFmtId="4" fontId="0" fillId="0" borderId="23" xfId="1" applyNumberFormat="1" applyFont="1" applyBorder="1" applyAlignment="1">
      <alignment horizontal="center" vertical="center"/>
    </xf>
    <xf numFmtId="4" fontId="0" fillId="0" borderId="53" xfId="1" applyNumberFormat="1" applyFont="1" applyBorder="1" applyAlignment="1">
      <alignment horizontal="center" vertical="center"/>
    </xf>
    <xf numFmtId="4" fontId="0" fillId="0" borderId="42" xfId="1" applyNumberFormat="1" applyFont="1" applyBorder="1" applyAlignment="1">
      <alignment horizontal="center" vertical="center"/>
    </xf>
    <xf numFmtId="4" fontId="0" fillId="0" borderId="52" xfId="1" applyNumberFormat="1" applyFont="1" applyBorder="1" applyAlignment="1">
      <alignment horizontal="center" vertical="center"/>
    </xf>
    <xf numFmtId="4" fontId="0" fillId="8" borderId="19" xfId="1" applyNumberFormat="1" applyFont="1" applyFill="1" applyBorder="1" applyAlignment="1">
      <alignment horizontal="center" vertical="center"/>
    </xf>
    <xf numFmtId="3" fontId="0" fillId="8" borderId="12" xfId="0" applyNumberFormat="1" applyFont="1" applyFill="1" applyBorder="1" applyAlignment="1">
      <alignment horizontal="right" vertical="center"/>
    </xf>
    <xf numFmtId="2" fontId="0" fillId="17" borderId="64" xfId="1" applyNumberFormat="1" applyFont="1" applyFill="1" applyBorder="1" applyAlignment="1">
      <alignment horizontal="center" vertical="center"/>
    </xf>
    <xf numFmtId="4" fontId="0" fillId="8" borderId="6" xfId="1" applyNumberFormat="1" applyFont="1" applyFill="1" applyBorder="1" applyAlignment="1">
      <alignment horizontal="center" vertical="center"/>
    </xf>
    <xf numFmtId="4" fontId="0" fillId="8" borderId="7" xfId="1" applyNumberFormat="1" applyFont="1" applyFill="1" applyBorder="1" applyAlignment="1">
      <alignment horizontal="center" vertical="center"/>
    </xf>
    <xf numFmtId="4" fontId="0" fillId="0" borderId="50" xfId="1" applyNumberFormat="1" applyFont="1" applyBorder="1" applyAlignment="1">
      <alignment horizontal="center" vertical="center"/>
    </xf>
    <xf numFmtId="2" fontId="0" fillId="0" borderId="14" xfId="0" applyNumberFormat="1" applyBorder="1"/>
    <xf numFmtId="4" fontId="0" fillId="17" borderId="23" xfId="1" applyNumberFormat="1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/>
    </xf>
    <xf numFmtId="168" fontId="0" fillId="8" borderId="36" xfId="1" applyNumberFormat="1" applyFont="1" applyFill="1" applyBorder="1" applyAlignment="1">
      <alignment horizontal="center"/>
    </xf>
    <xf numFmtId="4" fontId="2" fillId="8" borderId="22" xfId="1" applyNumberFormat="1" applyFont="1" applyFill="1" applyBorder="1" applyAlignment="1">
      <alignment horizontal="center"/>
    </xf>
    <xf numFmtId="4" fontId="2" fillId="8" borderId="23" xfId="1" applyNumberFormat="1" applyFont="1" applyFill="1" applyBorder="1" applyAlignment="1">
      <alignment horizontal="center"/>
    </xf>
    <xf numFmtId="0" fontId="2" fillId="17" borderId="0" xfId="0" applyFont="1" applyFill="1" applyBorder="1" applyAlignment="1"/>
    <xf numFmtId="0" fontId="0" fillId="17" borderId="0" xfId="0" applyFill="1"/>
    <xf numFmtId="164" fontId="0" fillId="0" borderId="1" xfId="1" applyNumberFormat="1" applyFont="1" applyFill="1" applyBorder="1" applyAlignment="1">
      <alignment horizontal="center"/>
    </xf>
    <xf numFmtId="4" fontId="0" fillId="0" borderId="1" xfId="1" applyNumberFormat="1" applyFont="1" applyFill="1" applyBorder="1" applyAlignment="1">
      <alignment horizontal="center"/>
    </xf>
    <xf numFmtId="0" fontId="2" fillId="0" borderId="16" xfId="0" applyFont="1" applyFill="1" applyBorder="1"/>
    <xf numFmtId="0" fontId="2" fillId="0" borderId="0" xfId="0" applyFont="1"/>
    <xf numFmtId="0" fontId="6" fillId="17" borderId="0" xfId="0" applyFont="1" applyFill="1" applyAlignment="1">
      <alignment horizontal="center" vertical="center"/>
    </xf>
    <xf numFmtId="0" fontId="2" fillId="17" borderId="0" xfId="0" applyFont="1" applyFill="1"/>
    <xf numFmtId="164" fontId="0" fillId="0" borderId="36" xfId="1" applyNumberFormat="1" applyFont="1" applyFill="1" applyBorder="1" applyAlignment="1">
      <alignment horizontal="center"/>
    </xf>
    <xf numFmtId="0" fontId="0" fillId="0" borderId="18" xfId="0" applyFill="1" applyBorder="1"/>
    <xf numFmtId="164" fontId="0" fillId="0" borderId="19" xfId="1" applyFont="1" applyFill="1" applyBorder="1" applyAlignment="1">
      <alignment horizontal="center"/>
    </xf>
    <xf numFmtId="3" fontId="0" fillId="11" borderId="48" xfId="0" applyNumberFormat="1" applyFill="1" applyBorder="1" applyAlignment="1">
      <alignment horizontal="center"/>
    </xf>
    <xf numFmtId="0" fontId="0" fillId="0" borderId="63" xfId="0" applyBorder="1"/>
    <xf numFmtId="4" fontId="0" fillId="0" borderId="54" xfId="1" applyNumberFormat="1" applyFont="1" applyBorder="1" applyAlignment="1">
      <alignment horizontal="center" vertical="center"/>
    </xf>
    <xf numFmtId="0" fontId="0" fillId="18" borderId="9" xfId="0" applyFill="1" applyBorder="1"/>
    <xf numFmtId="0" fontId="0" fillId="0" borderId="68" xfId="0" applyBorder="1"/>
    <xf numFmtId="0" fontId="0" fillId="0" borderId="69" xfId="0" applyBorder="1"/>
    <xf numFmtId="0" fontId="2" fillId="0" borderId="34" xfId="0" applyFont="1" applyBorder="1"/>
    <xf numFmtId="0" fontId="2" fillId="21" borderId="69" xfId="0" applyFont="1" applyFill="1" applyBorder="1"/>
    <xf numFmtId="0" fontId="2" fillId="13" borderId="12" xfId="0" applyFont="1" applyFill="1" applyBorder="1" applyAlignment="1">
      <alignment horizontal="center"/>
    </xf>
    <xf numFmtId="4" fontId="0" fillId="0" borderId="41" xfId="0" applyNumberFormat="1" applyBorder="1" applyAlignment="1">
      <alignment horizontal="center"/>
    </xf>
    <xf numFmtId="4" fontId="0" fillId="0" borderId="39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0" fontId="2" fillId="13" borderId="38" xfId="0" applyFont="1" applyFill="1" applyBorder="1" applyAlignment="1">
      <alignment horizontal="center"/>
    </xf>
    <xf numFmtId="0" fontId="2" fillId="13" borderId="47" xfId="0" applyFont="1" applyFill="1" applyBorder="1" applyAlignment="1">
      <alignment horizontal="center"/>
    </xf>
    <xf numFmtId="0" fontId="2" fillId="13" borderId="31" xfId="0" applyFont="1" applyFill="1" applyBorder="1" applyAlignment="1">
      <alignment horizontal="center"/>
    </xf>
    <xf numFmtId="0" fontId="0" fillId="0" borderId="35" xfId="0" applyBorder="1"/>
    <xf numFmtId="0" fontId="0" fillId="0" borderId="60" xfId="0" applyBorder="1"/>
    <xf numFmtId="10" fontId="2" fillId="2" borderId="34" xfId="0" applyNumberFormat="1" applyFont="1" applyFill="1" applyBorder="1" applyAlignment="1">
      <alignment horizontal="center" vertical="center"/>
    </xf>
    <xf numFmtId="0" fontId="2" fillId="13" borderId="38" xfId="0" applyFont="1" applyFill="1" applyBorder="1" applyAlignment="1">
      <alignment horizontal="center"/>
    </xf>
    <xf numFmtId="0" fontId="2" fillId="13" borderId="47" xfId="0" applyFont="1" applyFill="1" applyBorder="1" applyAlignment="1">
      <alignment horizontal="center"/>
    </xf>
    <xf numFmtId="0" fontId="2" fillId="13" borderId="31" xfId="0" applyFont="1" applyFill="1" applyBorder="1" applyAlignment="1">
      <alignment horizontal="center"/>
    </xf>
    <xf numFmtId="0" fontId="2" fillId="13" borderId="21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center"/>
    </xf>
    <xf numFmtId="0" fontId="2" fillId="13" borderId="2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8" fontId="0" fillId="0" borderId="0" xfId="0" applyNumberFormat="1"/>
    <xf numFmtId="164" fontId="2" fillId="0" borderId="0" xfId="1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168" fontId="0" fillId="0" borderId="0" xfId="1" applyNumberFormat="1" applyFont="1" applyFill="1" applyBorder="1" applyAlignment="1">
      <alignment horizontal="center"/>
    </xf>
    <xf numFmtId="170" fontId="0" fillId="0" borderId="0" xfId="1" applyNumberFormat="1" applyFont="1" applyFill="1" applyBorder="1" applyAlignment="1">
      <alignment horizontal="center"/>
    </xf>
    <xf numFmtId="169" fontId="0" fillId="0" borderId="0" xfId="1" applyNumberFormat="1" applyFont="1" applyFill="1" applyBorder="1" applyAlignment="1">
      <alignment horizontal="center"/>
    </xf>
    <xf numFmtId="0" fontId="2" fillId="0" borderId="0" xfId="0" applyFont="1" applyFill="1" applyBorder="1"/>
    <xf numFmtId="4" fontId="2" fillId="0" borderId="0" xfId="1" applyNumberFormat="1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164" fontId="2" fillId="8" borderId="22" xfId="1" applyFont="1" applyFill="1" applyBorder="1" applyAlignment="1">
      <alignment horizontal="center"/>
    </xf>
    <xf numFmtId="0" fontId="2" fillId="8" borderId="66" xfId="0" applyFont="1" applyFill="1" applyBorder="1" applyAlignment="1">
      <alignment horizontal="center"/>
    </xf>
    <xf numFmtId="0" fontId="2" fillId="8" borderId="23" xfId="0" applyFont="1" applyFill="1" applyBorder="1" applyAlignment="1">
      <alignment horizontal="center"/>
    </xf>
    <xf numFmtId="0" fontId="2" fillId="0" borderId="4" xfId="0" applyFont="1" applyFill="1" applyBorder="1"/>
    <xf numFmtId="4" fontId="2" fillId="0" borderId="5" xfId="1" applyNumberFormat="1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4" fontId="2" fillId="0" borderId="11" xfId="1" applyNumberFormat="1" applyFont="1" applyFill="1" applyBorder="1" applyAlignment="1">
      <alignment horizontal="center"/>
    </xf>
    <xf numFmtId="4" fontId="2" fillId="21" borderId="53" xfId="0" applyNumberFormat="1" applyFont="1" applyFill="1" applyBorder="1" applyAlignment="1">
      <alignment horizontal="center"/>
    </xf>
    <xf numFmtId="4" fontId="2" fillId="21" borderId="1" xfId="0" applyNumberFormat="1" applyFont="1" applyFill="1" applyBorder="1" applyAlignment="1">
      <alignment horizontal="center"/>
    </xf>
    <xf numFmtId="4" fontId="2" fillId="21" borderId="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0" fillId="18" borderId="9" xfId="0" applyFill="1" applyBorder="1" applyAlignment="1">
      <alignment horizontal="center"/>
    </xf>
    <xf numFmtId="0" fontId="3" fillId="18" borderId="67" xfId="0" applyFont="1" applyFill="1" applyBorder="1"/>
    <xf numFmtId="4" fontId="3" fillId="18" borderId="34" xfId="0" applyNumberFormat="1" applyFont="1" applyFill="1" applyBorder="1" applyAlignment="1">
      <alignment horizontal="center"/>
    </xf>
    <xf numFmtId="4" fontId="0" fillId="0" borderId="6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4" fontId="0" fillId="0" borderId="35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4" fontId="2" fillId="21" borderId="4" xfId="0" applyNumberFormat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5" xfId="0" applyNumberFormat="1" applyBorder="1" applyAlignment="1">
      <alignment horizontal="center"/>
    </xf>
    <xf numFmtId="10" fontId="2" fillId="0" borderId="0" xfId="0" applyNumberFormat="1" applyFont="1" applyFill="1" applyBorder="1" applyAlignment="1">
      <alignment horizontal="center" vertical="center"/>
    </xf>
    <xf numFmtId="0" fontId="0" fillId="0" borderId="15" xfId="0" applyBorder="1"/>
    <xf numFmtId="0" fontId="2" fillId="21" borderId="60" xfId="0" applyFont="1" applyFill="1" applyBorder="1"/>
    <xf numFmtId="0" fontId="3" fillId="18" borderId="62" xfId="0" applyFont="1" applyFill="1" applyBorder="1"/>
    <xf numFmtId="10" fontId="2" fillId="2" borderId="29" xfId="0" applyNumberFormat="1" applyFont="1" applyFill="1" applyBorder="1" applyAlignment="1">
      <alignment horizontal="center" vertical="center"/>
    </xf>
    <xf numFmtId="4" fontId="0" fillId="0" borderId="4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3" fillId="18" borderId="4" xfId="0" applyNumberFormat="1" applyFont="1" applyFill="1" applyBorder="1" applyAlignment="1">
      <alignment horizontal="center"/>
    </xf>
    <xf numFmtId="4" fontId="0" fillId="0" borderId="21" xfId="0" applyNumberFormat="1" applyBorder="1" applyAlignment="1">
      <alignment horizontal="center" vertical="center"/>
    </xf>
    <xf numFmtId="4" fontId="0" fillId="0" borderId="22" xfId="0" applyNumberFormat="1" applyBorder="1" applyAlignment="1">
      <alignment horizontal="center" vertical="center"/>
    </xf>
    <xf numFmtId="4" fontId="0" fillId="0" borderId="23" xfId="0" applyNumberFormat="1" applyBorder="1" applyAlignment="1">
      <alignment horizontal="center" vertical="center"/>
    </xf>
    <xf numFmtId="4" fontId="0" fillId="0" borderId="19" xfId="0" applyNumberFormat="1" applyBorder="1" applyAlignment="1">
      <alignment horizontal="center"/>
    </xf>
    <xf numFmtId="0" fontId="8" fillId="18" borderId="25" xfId="0" applyFont="1" applyFill="1" applyBorder="1" applyAlignment="1">
      <alignment horizontal="center"/>
    </xf>
    <xf numFmtId="0" fontId="8" fillId="18" borderId="9" xfId="0" applyFont="1" applyFill="1" applyBorder="1" applyAlignment="1">
      <alignment horizontal="center"/>
    </xf>
    <xf numFmtId="166" fontId="0" fillId="0" borderId="1" xfId="1" applyNumberFormat="1" applyFont="1" applyBorder="1" applyAlignment="1">
      <alignment horizontal="center" vertical="center"/>
    </xf>
    <xf numFmtId="4" fontId="3" fillId="18" borderId="8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8" borderId="43" xfId="0" applyFont="1" applyFill="1" applyBorder="1" applyAlignment="1">
      <alignment horizontal="center" vertical="center"/>
    </xf>
    <xf numFmtId="0" fontId="0" fillId="8" borderId="42" xfId="0" applyFont="1" applyFill="1" applyBorder="1" applyAlignment="1">
      <alignment horizontal="center" vertical="center"/>
    </xf>
    <xf numFmtId="0" fontId="0" fillId="8" borderId="14" xfId="0" applyFont="1" applyFill="1" applyBorder="1" applyAlignment="1">
      <alignment horizontal="center" vertical="top"/>
    </xf>
    <xf numFmtId="0" fontId="0" fillId="8" borderId="17" xfId="0" applyFont="1" applyFill="1" applyBorder="1" applyAlignment="1">
      <alignment horizontal="left" vertical="center"/>
    </xf>
    <xf numFmtId="0" fontId="0" fillId="8" borderId="1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2" fillId="8" borderId="12" xfId="0" applyFont="1" applyFill="1" applyBorder="1" applyAlignment="1">
      <alignment horizontal="center" vertical="center" wrapText="1"/>
    </xf>
    <xf numFmtId="3" fontId="0" fillId="8" borderId="9" xfId="1" applyNumberFormat="1" applyFont="1" applyFill="1" applyBorder="1" applyAlignment="1">
      <alignment horizontal="right" vertical="center"/>
    </xf>
    <xf numFmtId="3" fontId="0" fillId="8" borderId="12" xfId="1" applyNumberFormat="1" applyFont="1" applyFill="1" applyBorder="1" applyAlignment="1">
      <alignment horizontal="right" vertical="center"/>
    </xf>
    <xf numFmtId="3" fontId="0" fillId="8" borderId="14" xfId="1" applyNumberFormat="1" applyFont="1" applyFill="1" applyBorder="1" applyAlignment="1">
      <alignment horizontal="left" vertical="center"/>
    </xf>
    <xf numFmtId="3" fontId="0" fillId="8" borderId="55" xfId="1" applyNumberFormat="1" applyFont="1" applyFill="1" applyBorder="1" applyAlignment="1">
      <alignment horizontal="right" vertical="center"/>
    </xf>
    <xf numFmtId="3" fontId="0" fillId="8" borderId="26" xfId="1" applyNumberFormat="1" applyFont="1" applyFill="1" applyBorder="1" applyAlignment="1">
      <alignment vertical="center"/>
    </xf>
    <xf numFmtId="0" fontId="0" fillId="8" borderId="49" xfId="0" applyFont="1" applyFill="1" applyBorder="1" applyAlignment="1">
      <alignment horizontal="center" vertical="center"/>
    </xf>
    <xf numFmtId="3" fontId="0" fillId="8" borderId="37" xfId="1" applyNumberFormat="1" applyFont="1" applyFill="1" applyBorder="1" applyAlignment="1">
      <alignment horizontal="right" vertical="center"/>
    </xf>
    <xf numFmtId="3" fontId="0" fillId="8" borderId="56" xfId="1" applyNumberFormat="1" applyFont="1" applyFill="1" applyBorder="1" applyAlignment="1">
      <alignment vertical="center"/>
    </xf>
    <xf numFmtId="2" fontId="0" fillId="8" borderId="59" xfId="0" applyNumberFormat="1" applyFont="1" applyFill="1" applyBorder="1" applyAlignment="1">
      <alignment horizontal="right"/>
    </xf>
    <xf numFmtId="3" fontId="0" fillId="8" borderId="56" xfId="1" applyNumberFormat="1" applyFont="1" applyFill="1" applyBorder="1" applyAlignment="1">
      <alignment horizontal="left" vertical="center"/>
    </xf>
    <xf numFmtId="3" fontId="0" fillId="8" borderId="61" xfId="1" applyNumberFormat="1" applyFont="1" applyFill="1" applyBorder="1" applyAlignment="1">
      <alignment horizontal="left" vertical="center"/>
    </xf>
    <xf numFmtId="3" fontId="0" fillId="8" borderId="44" xfId="1" applyNumberFormat="1" applyFont="1" applyFill="1" applyBorder="1" applyAlignment="1">
      <alignment vertical="center"/>
    </xf>
    <xf numFmtId="3" fontId="0" fillId="8" borderId="50" xfId="1" applyNumberFormat="1" applyFont="1" applyFill="1" applyBorder="1" applyAlignment="1">
      <alignment horizontal="left" vertical="center"/>
    </xf>
    <xf numFmtId="0" fontId="0" fillId="8" borderId="15" xfId="0" applyFont="1" applyFill="1" applyBorder="1" applyAlignment="1">
      <alignment horizontal="center" vertical="center"/>
    </xf>
    <xf numFmtId="0" fontId="0" fillId="8" borderId="60" xfId="0" applyFont="1" applyFill="1" applyBorder="1" applyAlignment="1">
      <alignment horizontal="center" vertical="center"/>
    </xf>
    <xf numFmtId="0" fontId="0" fillId="8" borderId="30" xfId="0" applyFont="1" applyFill="1" applyBorder="1" applyAlignment="1">
      <alignment horizontal="center" vertical="center"/>
    </xf>
    <xf numFmtId="0" fontId="0" fillId="8" borderId="36" xfId="0" applyFont="1" applyFill="1" applyBorder="1" applyAlignment="1">
      <alignment horizontal="right" vertical="center"/>
    </xf>
    <xf numFmtId="0" fontId="0" fillId="8" borderId="54" xfId="0" applyFont="1" applyFill="1" applyBorder="1" applyAlignment="1">
      <alignment horizontal="right" vertical="center"/>
    </xf>
    <xf numFmtId="0" fontId="0" fillId="8" borderId="55" xfId="0" applyFont="1" applyFill="1" applyBorder="1" applyAlignment="1">
      <alignment horizontal="right" vertical="center"/>
    </xf>
    <xf numFmtId="0" fontId="0" fillId="8" borderId="65" xfId="0" applyFont="1" applyFill="1" applyBorder="1" applyAlignment="1">
      <alignment horizontal="left" vertical="center"/>
    </xf>
    <xf numFmtId="0" fontId="0" fillId="8" borderId="56" xfId="0" applyFont="1" applyFill="1" applyBorder="1" applyAlignment="1">
      <alignment horizontal="left" vertical="center"/>
    </xf>
    <xf numFmtId="0" fontId="0" fillId="8" borderId="37" xfId="0" applyFont="1" applyFill="1" applyBorder="1" applyAlignment="1">
      <alignment horizontal="right" vertical="center"/>
    </xf>
    <xf numFmtId="0" fontId="0" fillId="8" borderId="49" xfId="0" applyFont="1" applyFill="1" applyBorder="1" applyAlignment="1">
      <alignment horizontal="left" vertical="center"/>
    </xf>
    <xf numFmtId="0" fontId="0" fillId="8" borderId="61" xfId="0" applyFont="1" applyFill="1" applyBorder="1" applyAlignment="1">
      <alignment horizontal="left" vertical="center"/>
    </xf>
    <xf numFmtId="0" fontId="0" fillId="8" borderId="59" xfId="0" applyFont="1" applyFill="1" applyBorder="1" applyAlignment="1">
      <alignment horizontal="right" vertical="center"/>
    </xf>
    <xf numFmtId="0" fontId="0" fillId="8" borderId="44" xfId="0" applyFont="1" applyFill="1" applyBorder="1" applyAlignment="1">
      <alignment horizontal="left" vertical="center"/>
    </xf>
    <xf numFmtId="0" fontId="0" fillId="8" borderId="50" xfId="0" applyFont="1" applyFill="1" applyBorder="1" applyAlignment="1">
      <alignment horizontal="left" vertical="center"/>
    </xf>
    <xf numFmtId="167" fontId="2" fillId="0" borderId="0" xfId="1" applyNumberFormat="1" applyFont="1" applyFill="1" applyBorder="1" applyAlignment="1">
      <alignment horizontal="center"/>
    </xf>
    <xf numFmtId="4" fontId="0" fillId="0" borderId="39" xfId="1" applyNumberFormat="1" applyFont="1" applyBorder="1" applyAlignment="1">
      <alignment horizontal="center" vertical="center"/>
    </xf>
    <xf numFmtId="166" fontId="0" fillId="0" borderId="39" xfId="1" applyNumberFormat="1" applyFont="1" applyBorder="1" applyAlignment="1">
      <alignment horizontal="center" vertical="center"/>
    </xf>
    <xf numFmtId="167" fontId="0" fillId="0" borderId="3" xfId="1" applyNumberFormat="1" applyFont="1" applyBorder="1" applyAlignment="1">
      <alignment horizontal="center" vertical="center"/>
    </xf>
    <xf numFmtId="4" fontId="0" fillId="0" borderId="32" xfId="1" applyNumberFormat="1" applyFont="1" applyBorder="1" applyAlignment="1">
      <alignment horizontal="center" vertical="center"/>
    </xf>
    <xf numFmtId="166" fontId="0" fillId="0" borderId="32" xfId="1" applyNumberFormat="1" applyFont="1" applyBorder="1" applyAlignment="1">
      <alignment horizontal="center" vertical="center"/>
    </xf>
    <xf numFmtId="167" fontId="0" fillId="0" borderId="33" xfId="1" applyNumberFormat="1" applyFont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/>
    </xf>
    <xf numFmtId="2" fontId="2" fillId="2" borderId="46" xfId="1" applyNumberFormat="1" applyFont="1" applyFill="1" applyBorder="1" applyAlignment="1">
      <alignment horizontal="center" vertical="center"/>
    </xf>
    <xf numFmtId="4" fontId="2" fillId="2" borderId="45" xfId="1" applyNumberFormat="1" applyFont="1" applyFill="1" applyBorder="1" applyAlignment="1">
      <alignment horizontal="center" vertical="center"/>
    </xf>
    <xf numFmtId="164" fontId="2" fillId="15" borderId="38" xfId="1" applyFont="1" applyFill="1" applyBorder="1" applyAlignment="1">
      <alignment horizontal="center"/>
    </xf>
    <xf numFmtId="164" fontId="2" fillId="15" borderId="47" xfId="1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2" fillId="15" borderId="31" xfId="0" applyFont="1" applyFill="1" applyBorder="1" applyAlignment="1">
      <alignment horizontal="center"/>
    </xf>
    <xf numFmtId="164" fontId="2" fillId="15" borderId="27" xfId="1" applyFont="1" applyFill="1" applyBorder="1" applyAlignment="1">
      <alignment horizontal="center"/>
    </xf>
    <xf numFmtId="164" fontId="2" fillId="15" borderId="32" xfId="1" applyFont="1" applyFill="1" applyBorder="1" applyAlignment="1">
      <alignment horizontal="center"/>
    </xf>
    <xf numFmtId="164" fontId="2" fillId="15" borderId="51" xfId="1" applyFont="1" applyFill="1" applyBorder="1" applyAlignment="1">
      <alignment horizontal="center"/>
    </xf>
    <xf numFmtId="164" fontId="2" fillId="15" borderId="71" xfId="1" applyFont="1" applyFill="1" applyBorder="1" applyAlignment="1">
      <alignment horizontal="center"/>
    </xf>
    <xf numFmtId="0" fontId="2" fillId="15" borderId="21" xfId="0" applyFont="1" applyFill="1" applyBorder="1" applyAlignment="1">
      <alignment horizontal="center"/>
    </xf>
    <xf numFmtId="0" fontId="2" fillId="15" borderId="22" xfId="0" applyFont="1" applyFill="1" applyBorder="1" applyAlignment="1">
      <alignment horizontal="center"/>
    </xf>
    <xf numFmtId="0" fontId="2" fillId="15" borderId="23" xfId="0" applyFont="1" applyFill="1" applyBorder="1" applyAlignment="1">
      <alignment horizontal="center"/>
    </xf>
    <xf numFmtId="0" fontId="2" fillId="15" borderId="1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4" fontId="0" fillId="0" borderId="0" xfId="1" applyNumberFormat="1" applyFont="1" applyFill="1" applyBorder="1" applyAlignment="1">
      <alignment horizontal="center" vertical="center"/>
    </xf>
    <xf numFmtId="164" fontId="0" fillId="0" borderId="72" xfId="1" applyFont="1" applyBorder="1" applyAlignment="1">
      <alignment horizontal="center"/>
    </xf>
    <xf numFmtId="164" fontId="0" fillId="0" borderId="67" xfId="1" applyFont="1" applyBorder="1" applyAlignment="1">
      <alignment horizontal="center"/>
    </xf>
    <xf numFmtId="164" fontId="0" fillId="0" borderId="69" xfId="1" applyFont="1" applyBorder="1" applyAlignment="1">
      <alignment horizontal="center"/>
    </xf>
    <xf numFmtId="164" fontId="0" fillId="17" borderId="70" xfId="1" applyFont="1" applyFill="1" applyBorder="1" applyAlignment="1">
      <alignment horizontal="center" vertical="center"/>
    </xf>
    <xf numFmtId="164" fontId="0" fillId="8" borderId="67" xfId="1" applyFont="1" applyFill="1" applyBorder="1" applyAlignment="1">
      <alignment horizontal="center"/>
    </xf>
    <xf numFmtId="0" fontId="2" fillId="15" borderId="4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  <xf numFmtId="0" fontId="2" fillId="17" borderId="0" xfId="0" applyFont="1" applyFill="1" applyBorder="1"/>
    <xf numFmtId="164" fontId="2" fillId="17" borderId="0" xfId="1" applyNumberFormat="1" applyFont="1" applyFill="1" applyBorder="1" applyAlignment="1">
      <alignment horizontal="center"/>
    </xf>
    <xf numFmtId="4" fontId="2" fillId="17" borderId="0" xfId="1" applyNumberFormat="1" applyFont="1" applyFill="1" applyBorder="1" applyAlignment="1">
      <alignment horizontal="center"/>
    </xf>
    <xf numFmtId="4" fontId="2" fillId="5" borderId="22" xfId="1" applyNumberFormat="1" applyFont="1" applyFill="1" applyBorder="1" applyAlignment="1">
      <alignment horizontal="center"/>
    </xf>
    <xf numFmtId="4" fontId="2" fillId="4" borderId="22" xfId="1" applyNumberFormat="1" applyFont="1" applyFill="1" applyBorder="1" applyAlignment="1">
      <alignment horizontal="center"/>
    </xf>
    <xf numFmtId="0" fontId="0" fillId="0" borderId="21" xfId="0" applyFont="1" applyFill="1" applyBorder="1"/>
    <xf numFmtId="164" fontId="1" fillId="0" borderId="22" xfId="1" applyNumberFormat="1" applyFont="1" applyFill="1" applyBorder="1" applyAlignment="1">
      <alignment horizontal="center"/>
    </xf>
    <xf numFmtId="4" fontId="1" fillId="0" borderId="66" xfId="1" applyNumberFormat="1" applyFont="1" applyFill="1" applyBorder="1" applyAlignment="1">
      <alignment horizontal="center"/>
    </xf>
    <xf numFmtId="4" fontId="1" fillId="0" borderId="5" xfId="1" applyNumberFormat="1" applyFont="1" applyFill="1" applyBorder="1" applyAlignment="1">
      <alignment horizontal="center"/>
    </xf>
    <xf numFmtId="0" fontId="0" fillId="0" borderId="16" xfId="0" applyFont="1" applyFill="1" applyBorder="1" applyAlignment="1"/>
    <xf numFmtId="0" fontId="0" fillId="0" borderId="0" xfId="0" applyFont="1" applyFill="1" applyBorder="1" applyAlignment="1"/>
    <xf numFmtId="4" fontId="0" fillId="0" borderId="20" xfId="0" applyNumberFormat="1" applyFont="1" applyFill="1" applyBorder="1" applyAlignment="1">
      <alignment horizontal="center"/>
    </xf>
    <xf numFmtId="0" fontId="2" fillId="13" borderId="27" xfId="0" applyFont="1" applyFill="1" applyBorder="1"/>
    <xf numFmtId="0" fontId="2" fillId="15" borderId="63" xfId="0" applyFont="1" applyFill="1" applyBorder="1" applyAlignment="1">
      <alignment horizontal="center"/>
    </xf>
    <xf numFmtId="4" fontId="0" fillId="0" borderId="58" xfId="0" applyNumberForma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/>
    <xf numFmtId="0" fontId="10" fillId="0" borderId="0" xfId="0" applyFont="1" applyFill="1" applyAlignment="1">
      <alignment horizontal="center" vertical="center"/>
    </xf>
    <xf numFmtId="0" fontId="8" fillId="0" borderId="0" xfId="0" applyFont="1" applyFill="1" applyAlignment="1"/>
    <xf numFmtId="0" fontId="0" fillId="0" borderId="0" xfId="0" applyFill="1"/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3" fillId="12" borderId="0" xfId="0" applyFont="1" applyFill="1" applyAlignment="1">
      <alignment horizontal="center"/>
    </xf>
    <xf numFmtId="0" fontId="2" fillId="8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8" borderId="24" xfId="0" applyFont="1" applyFill="1" applyBorder="1" applyAlignment="1">
      <alignment horizontal="center" vertical="center"/>
    </xf>
    <xf numFmtId="0" fontId="0" fillId="8" borderId="25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/>
    </xf>
    <xf numFmtId="0" fontId="2" fillId="10" borderId="13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13" borderId="38" xfId="0" applyFont="1" applyFill="1" applyBorder="1" applyAlignment="1">
      <alignment horizontal="center"/>
    </xf>
    <xf numFmtId="0" fontId="2" fillId="13" borderId="47" xfId="0" applyFont="1" applyFill="1" applyBorder="1" applyAlignment="1">
      <alignment horizontal="center"/>
    </xf>
    <xf numFmtId="0" fontId="2" fillId="13" borderId="31" xfId="0" applyFont="1" applyFill="1" applyBorder="1" applyAlignment="1">
      <alignment horizontal="center"/>
    </xf>
    <xf numFmtId="3" fontId="0" fillId="8" borderId="17" xfId="1" applyNumberFormat="1" applyFont="1" applyFill="1" applyBorder="1" applyAlignment="1">
      <alignment vertical="center"/>
    </xf>
    <xf numFmtId="3" fontId="0" fillId="8" borderId="26" xfId="1" applyNumberFormat="1" applyFont="1" applyFill="1" applyBorder="1" applyAlignment="1">
      <alignment vertical="center"/>
    </xf>
    <xf numFmtId="3" fontId="0" fillId="8" borderId="59" xfId="1" applyNumberFormat="1" applyFont="1" applyFill="1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3" fontId="0" fillId="8" borderId="44" xfId="1" applyNumberFormat="1" applyFont="1" applyFill="1" applyBorder="1" applyAlignment="1">
      <alignment vertical="center"/>
    </xf>
    <xf numFmtId="0" fontId="2" fillId="8" borderId="16" xfId="0" applyFont="1" applyFill="1" applyBorder="1" applyAlignment="1">
      <alignment horizontal="center" vertical="center" wrapText="1"/>
    </xf>
    <xf numFmtId="0" fontId="0" fillId="0" borderId="16" xfId="0" applyBorder="1" applyAlignment="1"/>
    <xf numFmtId="0" fontId="0" fillId="0" borderId="25" xfId="0" applyBorder="1" applyAlignment="1"/>
    <xf numFmtId="0" fontId="0" fillId="8" borderId="16" xfId="0" applyFont="1" applyFill="1" applyBorder="1" applyAlignment="1">
      <alignment horizontal="center" vertical="center"/>
    </xf>
    <xf numFmtId="3" fontId="0" fillId="8" borderId="54" xfId="1" applyNumberFormat="1" applyFont="1" applyFill="1" applyBorder="1" applyAlignment="1">
      <alignment horizontal="right" vertical="center"/>
    </xf>
    <xf numFmtId="3" fontId="0" fillId="8" borderId="54" xfId="1" applyNumberFormat="1" applyFont="1" applyFill="1" applyBorder="1" applyAlignment="1">
      <alignment horizontal="center"/>
    </xf>
    <xf numFmtId="3" fontId="0" fillId="8" borderId="17" xfId="1" applyNumberFormat="1" applyFont="1" applyFill="1" applyBorder="1" applyAlignment="1"/>
    <xf numFmtId="0" fontId="0" fillId="8" borderId="16" xfId="0" applyFont="1" applyFill="1" applyBorder="1" applyAlignment="1">
      <alignment horizontal="center"/>
    </xf>
    <xf numFmtId="0" fontId="2" fillId="10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3" xfId="0" applyBorder="1" applyAlignment="1"/>
    <xf numFmtId="0" fontId="0" fillId="0" borderId="14" xfId="0" applyBorder="1" applyAlignment="1"/>
    <xf numFmtId="0" fontId="2" fillId="10" borderId="1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7" borderId="31" xfId="0" applyFont="1" applyFill="1" applyBorder="1" applyAlignment="1">
      <alignment horizontal="center" wrapText="1"/>
    </xf>
    <xf numFmtId="0" fontId="2" fillId="7" borderId="33" xfId="0" applyFont="1" applyFill="1" applyBorder="1" applyAlignment="1">
      <alignment horizontal="center" wrapText="1"/>
    </xf>
    <xf numFmtId="0" fontId="2" fillId="13" borderId="12" xfId="0" applyFont="1" applyFill="1" applyBorder="1" applyAlignment="1">
      <alignment horizontal="center"/>
    </xf>
    <xf numFmtId="0" fontId="2" fillId="13" borderId="43" xfId="0" applyFont="1" applyFill="1" applyBorder="1" applyAlignment="1">
      <alignment horizontal="center"/>
    </xf>
    <xf numFmtId="0" fontId="0" fillId="0" borderId="44" xfId="0" applyBorder="1" applyAlignment="1"/>
    <xf numFmtId="0" fontId="2" fillId="10" borderId="24" xfId="0" applyFont="1" applyFill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3" fillId="23" borderId="12" xfId="0" applyFont="1" applyFill="1" applyBorder="1" applyAlignment="1">
      <alignment horizontal="center"/>
    </xf>
    <xf numFmtId="0" fontId="8" fillId="23" borderId="13" xfId="0" applyFont="1" applyFill="1" applyBorder="1" applyAlignment="1"/>
    <xf numFmtId="0" fontId="2" fillId="10" borderId="24" xfId="0" applyFont="1" applyFill="1" applyBorder="1" applyAlignment="1">
      <alignment horizontal="center"/>
    </xf>
    <xf numFmtId="0" fontId="2" fillId="10" borderId="43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wrapText="1"/>
    </xf>
    <xf numFmtId="0" fontId="2" fillId="7" borderId="32" xfId="0" applyFont="1" applyFill="1" applyBorder="1" applyAlignment="1">
      <alignment horizontal="center" wrapText="1"/>
    </xf>
    <xf numFmtId="0" fontId="8" fillId="23" borderId="14" xfId="0" applyFont="1" applyFill="1" applyBorder="1" applyAlignment="1"/>
    <xf numFmtId="0" fontId="0" fillId="0" borderId="43" xfId="0" applyBorder="1" applyAlignment="1"/>
    <xf numFmtId="0" fontId="0" fillId="0" borderId="44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2" fillId="13" borderId="21" xfId="0" applyFont="1" applyFill="1" applyBorder="1" applyAlignment="1">
      <alignment horizontal="center"/>
    </xf>
    <xf numFmtId="0" fontId="2" fillId="13" borderId="22" xfId="0" applyFont="1" applyFill="1" applyBorder="1" applyAlignment="1">
      <alignment horizontal="center"/>
    </xf>
    <xf numFmtId="0" fontId="2" fillId="13" borderId="23" xfId="0" applyFont="1" applyFill="1" applyBorder="1" applyAlignment="1">
      <alignment horizontal="center"/>
    </xf>
    <xf numFmtId="0" fontId="3" fillId="19" borderId="0" xfId="0" applyFont="1" applyFill="1" applyBorder="1" applyAlignment="1">
      <alignment horizontal="left"/>
    </xf>
    <xf numFmtId="0" fontId="2" fillId="13" borderId="24" xfId="0" applyFont="1" applyFill="1" applyBorder="1" applyAlignment="1">
      <alignment horizontal="center"/>
    </xf>
    <xf numFmtId="0" fontId="2" fillId="13" borderId="44" xfId="0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58" xfId="0" applyFont="1" applyFill="1" applyBorder="1" applyAlignment="1"/>
    <xf numFmtId="0" fontId="2" fillId="0" borderId="0" xfId="0" applyFont="1" applyFill="1" applyBorder="1" applyAlignment="1">
      <alignment horizontal="center"/>
    </xf>
    <xf numFmtId="164" fontId="2" fillId="13" borderId="12" xfId="1" applyFont="1" applyFill="1" applyBorder="1" applyAlignment="1">
      <alignment horizontal="center"/>
    </xf>
    <xf numFmtId="164" fontId="2" fillId="13" borderId="13" xfId="1" applyFont="1" applyFill="1" applyBorder="1" applyAlignment="1">
      <alignment horizontal="center"/>
    </xf>
    <xf numFmtId="164" fontId="2" fillId="13" borderId="14" xfId="1" applyFont="1" applyFill="1" applyBorder="1" applyAlignment="1">
      <alignment horizontal="center"/>
    </xf>
    <xf numFmtId="0" fontId="2" fillId="13" borderId="13" xfId="0" applyFont="1" applyFill="1" applyBorder="1" applyAlignment="1">
      <alignment horizontal="center"/>
    </xf>
    <xf numFmtId="0" fontId="2" fillId="13" borderId="14" xfId="0" applyFont="1" applyFill="1" applyBorder="1" applyAlignment="1">
      <alignment horizontal="center"/>
    </xf>
    <xf numFmtId="164" fontId="2" fillId="13" borderId="24" xfId="1" applyFont="1" applyFill="1" applyBorder="1" applyAlignment="1">
      <alignment horizontal="center"/>
    </xf>
    <xf numFmtId="0" fontId="2" fillId="3" borderId="12" xfId="0" applyFont="1" applyFill="1" applyBorder="1" applyAlignment="1"/>
    <xf numFmtId="0" fontId="2" fillId="3" borderId="13" xfId="0" applyFont="1" applyFill="1" applyBorder="1" applyAlignment="1"/>
    <xf numFmtId="0" fontId="2" fillId="3" borderId="14" xfId="0" applyFont="1" applyFill="1" applyBorder="1" applyAlignment="1"/>
    <xf numFmtId="164" fontId="2" fillId="0" borderId="0" xfId="1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9" fillId="20" borderId="0" xfId="0" applyFont="1" applyFill="1" applyAlignment="1">
      <alignment horizontal="center" vertical="center"/>
    </xf>
    <xf numFmtId="0" fontId="10" fillId="20" borderId="0" xfId="0" applyFont="1" applyFill="1" applyAlignment="1">
      <alignment horizontal="center" vertical="center"/>
    </xf>
    <xf numFmtId="0" fontId="3" fillId="19" borderId="0" xfId="0" applyFont="1" applyFill="1" applyBorder="1" applyAlignment="1"/>
    <xf numFmtId="164" fontId="2" fillId="8" borderId="12" xfId="1" applyFont="1" applyFill="1" applyBorder="1" applyAlignment="1">
      <alignment horizontal="center"/>
    </xf>
    <xf numFmtId="164" fontId="2" fillId="8" borderId="13" xfId="1" applyFont="1" applyFill="1" applyBorder="1" applyAlignment="1">
      <alignment horizontal="center"/>
    </xf>
    <xf numFmtId="164" fontId="2" fillId="8" borderId="14" xfId="1" applyFont="1" applyFill="1" applyBorder="1" applyAlignment="1">
      <alignment horizontal="center"/>
    </xf>
    <xf numFmtId="0" fontId="9" fillId="20" borderId="0" xfId="0" applyFont="1" applyFill="1" applyAlignment="1">
      <alignment horizontal="center" vertical="center" wrapText="1"/>
    </xf>
    <xf numFmtId="0" fontId="10" fillId="20" borderId="0" xfId="0" applyFont="1" applyFill="1" applyAlignment="1">
      <alignment horizontal="center" vertical="center" wrapText="1"/>
    </xf>
    <xf numFmtId="0" fontId="11" fillId="22" borderId="0" xfId="0" applyFont="1" applyFill="1" applyAlignment="1">
      <alignment horizontal="center" vertical="center"/>
    </xf>
    <xf numFmtId="0" fontId="7" fillId="22" borderId="0" xfId="0" applyFont="1" applyFill="1" applyAlignment="1">
      <alignment horizontal="center" vertical="center"/>
    </xf>
    <xf numFmtId="0" fontId="6" fillId="22" borderId="0" xfId="0" applyFont="1" applyFill="1" applyAlignment="1">
      <alignment horizontal="center" vertical="center"/>
    </xf>
    <xf numFmtId="0" fontId="12" fillId="20" borderId="0" xfId="0" applyFont="1" applyFill="1" applyAlignment="1">
      <alignment horizontal="center" vertical="center"/>
    </xf>
    <xf numFmtId="0" fontId="13" fillId="20" borderId="0" xfId="0" applyFont="1" applyFill="1" applyAlignment="1">
      <alignment horizontal="center" vertical="center"/>
    </xf>
    <xf numFmtId="0" fontId="13" fillId="0" borderId="0" xfId="0" applyFont="1" applyAlignment="1"/>
    <xf numFmtId="0" fontId="14" fillId="20" borderId="0" xfId="0" applyFont="1" applyFill="1" applyAlignment="1">
      <alignment horizontal="center" vertical="center"/>
    </xf>
    <xf numFmtId="0" fontId="15" fillId="20" borderId="0" xfId="0" applyFont="1" applyFill="1" applyAlignment="1">
      <alignment horizontal="center" vertical="center"/>
    </xf>
    <xf numFmtId="0" fontId="15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D9FF"/>
      <color rgb="FFFF99FF"/>
      <color rgb="FFFF48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workbookViewId="0">
      <selection activeCell="A9" sqref="A9:D12"/>
    </sheetView>
  </sheetViews>
  <sheetFormatPr baseColWidth="10" defaultRowHeight="15" x14ac:dyDescent="0.25"/>
  <cols>
    <col min="1" max="1" width="18.7109375" customWidth="1"/>
    <col min="2" max="2" width="16.7109375" customWidth="1"/>
    <col min="3" max="3" width="10.42578125" customWidth="1"/>
    <col min="4" max="4" width="12.42578125" customWidth="1"/>
    <col min="7" max="7" width="27.5703125" customWidth="1"/>
    <col min="8" max="8" width="23.28515625" customWidth="1"/>
    <col min="9" max="9" width="8.28515625" customWidth="1"/>
    <col min="10" max="10" width="7.7109375" style="282" customWidth="1"/>
    <col min="11" max="11" width="19" customWidth="1"/>
    <col min="12" max="12" width="7.5703125" customWidth="1"/>
    <col min="13" max="13" width="5.28515625" customWidth="1"/>
    <col min="16" max="16" width="35.5703125" customWidth="1"/>
    <col min="18" max="18" width="12.42578125" customWidth="1"/>
  </cols>
  <sheetData>
    <row r="1" spans="1:20" ht="15.75" thickBot="1" x14ac:dyDescent="0.3"/>
    <row r="2" spans="1:20" ht="15.75" thickBot="1" x14ac:dyDescent="0.3">
      <c r="A2" s="371" t="s">
        <v>45</v>
      </c>
      <c r="B2" s="372"/>
      <c r="C2" s="373"/>
      <c r="G2" s="366" t="s">
        <v>62</v>
      </c>
      <c r="H2" s="366"/>
      <c r="P2" s="411" t="s">
        <v>63</v>
      </c>
      <c r="Q2" s="412"/>
      <c r="R2" s="412"/>
      <c r="S2" s="412"/>
      <c r="T2" s="413"/>
    </row>
    <row r="3" spans="1:20" ht="15" customHeight="1" thickBot="1" x14ac:dyDescent="0.3">
      <c r="A3" s="374" t="s">
        <v>46</v>
      </c>
      <c r="B3" s="132" t="s">
        <v>48</v>
      </c>
      <c r="C3" s="136">
        <v>4000</v>
      </c>
      <c r="P3" s="414" t="s">
        <v>60</v>
      </c>
      <c r="Q3" s="416" t="s">
        <v>78</v>
      </c>
      <c r="R3" s="416" t="s">
        <v>76</v>
      </c>
      <c r="S3" s="416" t="s">
        <v>77</v>
      </c>
      <c r="T3" s="400" t="s">
        <v>138</v>
      </c>
    </row>
    <row r="4" spans="1:20" ht="15.75" thickBot="1" x14ac:dyDescent="0.3">
      <c r="A4" s="375"/>
      <c r="B4" s="133" t="s">
        <v>50</v>
      </c>
      <c r="C4" s="137">
        <v>400</v>
      </c>
      <c r="G4" s="34" t="s">
        <v>44</v>
      </c>
      <c r="H4" s="14" t="s">
        <v>15</v>
      </c>
      <c r="P4" s="415"/>
      <c r="Q4" s="417"/>
      <c r="R4" s="417"/>
      <c r="S4" s="417"/>
      <c r="T4" s="401"/>
    </row>
    <row r="5" spans="1:20" ht="15" customHeight="1" x14ac:dyDescent="0.25">
      <c r="A5" s="376" t="s">
        <v>47</v>
      </c>
      <c r="B5" s="134" t="s">
        <v>51</v>
      </c>
      <c r="C5" s="138">
        <v>6000</v>
      </c>
      <c r="G5" s="61" t="s">
        <v>64</v>
      </c>
      <c r="H5" s="99">
        <v>8100</v>
      </c>
      <c r="P5" s="107" t="s">
        <v>53</v>
      </c>
      <c r="Q5" s="103">
        <v>400</v>
      </c>
      <c r="R5" s="108">
        <v>12.755000000000001</v>
      </c>
      <c r="S5" s="201">
        <v>4200</v>
      </c>
      <c r="T5" s="109">
        <v>25</v>
      </c>
    </row>
    <row r="6" spans="1:20" ht="15.75" customHeight="1" thickBot="1" x14ac:dyDescent="0.3">
      <c r="A6" s="377"/>
      <c r="B6" s="135" t="s">
        <v>49</v>
      </c>
      <c r="C6" s="139">
        <v>690</v>
      </c>
      <c r="G6" s="61" t="s">
        <v>65</v>
      </c>
      <c r="H6" s="99">
        <v>466</v>
      </c>
      <c r="J6" s="283"/>
      <c r="P6" s="17" t="s">
        <v>52</v>
      </c>
      <c r="Q6" s="48">
        <v>0</v>
      </c>
      <c r="R6" s="49">
        <v>0</v>
      </c>
      <c r="S6" s="32">
        <v>400</v>
      </c>
      <c r="T6" s="16">
        <v>54</v>
      </c>
    </row>
    <row r="7" spans="1:20" x14ac:dyDescent="0.25">
      <c r="G7" s="67" t="s">
        <v>66</v>
      </c>
      <c r="H7" s="100">
        <v>110955</v>
      </c>
      <c r="P7" s="15" t="s">
        <v>55</v>
      </c>
      <c r="Q7" s="48">
        <v>0</v>
      </c>
      <c r="R7" s="49">
        <v>0</v>
      </c>
      <c r="S7" s="201">
        <v>5000</v>
      </c>
      <c r="T7" s="16">
        <v>28</v>
      </c>
    </row>
    <row r="8" spans="1:20" ht="15.75" thickBot="1" x14ac:dyDescent="0.3">
      <c r="G8" s="67" t="s">
        <v>67</v>
      </c>
      <c r="H8" s="100">
        <v>42378</v>
      </c>
      <c r="P8" s="18" t="s">
        <v>54</v>
      </c>
      <c r="Q8" s="104">
        <v>0</v>
      </c>
      <c r="R8" s="105">
        <v>0</v>
      </c>
      <c r="S8" s="33">
        <v>700</v>
      </c>
      <c r="T8" s="19">
        <v>62</v>
      </c>
    </row>
    <row r="9" spans="1:20" ht="15.75" thickBot="1" x14ac:dyDescent="0.3">
      <c r="A9" s="378" t="s">
        <v>3</v>
      </c>
      <c r="B9" s="379"/>
      <c r="C9" s="379"/>
      <c r="D9" s="380"/>
      <c r="G9" s="67" t="s">
        <v>68</v>
      </c>
      <c r="H9" s="100">
        <v>64222.2</v>
      </c>
      <c r="T9" s="1"/>
    </row>
    <row r="10" spans="1:20" ht="15.75" thickBot="1" x14ac:dyDescent="0.3">
      <c r="A10" s="330" t="s">
        <v>83</v>
      </c>
      <c r="B10" s="331" t="s">
        <v>23</v>
      </c>
      <c r="C10" s="331" t="s">
        <v>8</v>
      </c>
      <c r="D10" s="119" t="s">
        <v>82</v>
      </c>
      <c r="G10" s="101" t="s">
        <v>85</v>
      </c>
      <c r="H10" s="102">
        <v>5270</v>
      </c>
      <c r="P10" s="37" t="s">
        <v>61</v>
      </c>
      <c r="Q10" s="46"/>
      <c r="R10" s="46"/>
      <c r="S10" s="38"/>
      <c r="T10" s="31">
        <v>0.4</v>
      </c>
    </row>
    <row r="11" spans="1:20" ht="15.75" thickBot="1" x14ac:dyDescent="0.3">
      <c r="A11" s="140" t="s">
        <v>2</v>
      </c>
      <c r="B11" s="25">
        <v>11000</v>
      </c>
      <c r="C11" s="25">
        <v>0.36</v>
      </c>
      <c r="D11" s="26">
        <f>+B11*C11</f>
        <v>3960</v>
      </c>
      <c r="P11" s="18" t="s">
        <v>159</v>
      </c>
      <c r="Q11" s="47"/>
      <c r="R11" s="47"/>
      <c r="S11" s="39" t="s">
        <v>75</v>
      </c>
      <c r="T11" s="19">
        <v>1.2</v>
      </c>
    </row>
    <row r="12" spans="1:20" ht="15.75" thickBot="1" x14ac:dyDescent="0.3">
      <c r="A12" s="141" t="s">
        <v>81</v>
      </c>
      <c r="B12" s="55">
        <v>77000</v>
      </c>
      <c r="C12" s="55">
        <v>0.38</v>
      </c>
      <c r="D12" s="142">
        <f t="shared" ref="D12" si="0">+B12*C12</f>
        <v>29260</v>
      </c>
      <c r="G12" s="35" t="s">
        <v>69</v>
      </c>
      <c r="H12" s="36">
        <v>648</v>
      </c>
    </row>
    <row r="13" spans="1:20" ht="15.75" thickBot="1" x14ac:dyDescent="0.3">
      <c r="B13" s="40"/>
      <c r="D13" s="40"/>
    </row>
    <row r="14" spans="1:20" ht="15.75" thickBot="1" x14ac:dyDescent="0.3">
      <c r="A14" s="129" t="s">
        <v>84</v>
      </c>
      <c r="B14" s="166">
        <v>3.5</v>
      </c>
      <c r="C14" s="165" t="s">
        <v>119</v>
      </c>
      <c r="G14" s="153" t="s">
        <v>117</v>
      </c>
      <c r="H14" s="154">
        <v>1440</v>
      </c>
    </row>
    <row r="15" spans="1:20" ht="15.75" thickBot="1" x14ac:dyDescent="0.3"/>
    <row r="16" spans="1:20" ht="15.75" thickBot="1" x14ac:dyDescent="0.3">
      <c r="A16" s="402" t="s">
        <v>59</v>
      </c>
      <c r="B16" s="403"/>
      <c r="C16" s="404"/>
    </row>
    <row r="17" spans="1:13" ht="15.75" thickBot="1" x14ac:dyDescent="0.3">
      <c r="A17" s="155" t="s">
        <v>56</v>
      </c>
      <c r="B17" s="158">
        <v>0.01</v>
      </c>
      <c r="C17" s="159" t="s">
        <v>119</v>
      </c>
      <c r="G17" s="409" t="s">
        <v>109</v>
      </c>
      <c r="H17" s="410"/>
      <c r="I17" s="410"/>
      <c r="J17" s="410"/>
      <c r="K17" s="410"/>
      <c r="L17" s="410"/>
      <c r="M17" s="418"/>
    </row>
    <row r="18" spans="1:13" ht="15.75" thickBot="1" x14ac:dyDescent="0.3">
      <c r="A18" s="156" t="s">
        <v>57</v>
      </c>
      <c r="B18" s="160">
        <v>1.4999999999999999E-2</v>
      </c>
      <c r="C18" s="161" t="s">
        <v>119</v>
      </c>
      <c r="G18" s="394" t="s">
        <v>92</v>
      </c>
      <c r="H18" s="411" t="s">
        <v>91</v>
      </c>
      <c r="I18" s="419"/>
      <c r="J18" s="404"/>
      <c r="K18" s="371" t="s">
        <v>90</v>
      </c>
      <c r="L18" s="396"/>
      <c r="M18" s="397"/>
    </row>
    <row r="19" spans="1:13" ht="15.75" thickBot="1" x14ac:dyDescent="0.3">
      <c r="A19" s="157" t="s">
        <v>58</v>
      </c>
      <c r="B19" s="162">
        <v>0.02</v>
      </c>
      <c r="C19" s="163" t="s">
        <v>119</v>
      </c>
      <c r="G19" s="421"/>
      <c r="H19" s="34" t="s">
        <v>89</v>
      </c>
      <c r="I19" s="412" t="s">
        <v>88</v>
      </c>
      <c r="J19" s="420"/>
      <c r="K19" s="275" t="s">
        <v>89</v>
      </c>
      <c r="L19" s="411" t="s">
        <v>88</v>
      </c>
      <c r="M19" s="413"/>
    </row>
    <row r="20" spans="1:13" x14ac:dyDescent="0.25">
      <c r="G20" s="367" t="s">
        <v>86</v>
      </c>
      <c r="H20" s="144" t="s">
        <v>0</v>
      </c>
      <c r="I20" s="288">
        <v>78000</v>
      </c>
      <c r="J20" s="292" t="s">
        <v>87</v>
      </c>
      <c r="K20" s="277" t="s">
        <v>93</v>
      </c>
      <c r="L20" s="288">
        <v>7200</v>
      </c>
      <c r="M20" s="294" t="s">
        <v>87</v>
      </c>
    </row>
    <row r="21" spans="1:13" ht="15.75" thickBot="1" x14ac:dyDescent="0.3">
      <c r="G21" s="368"/>
      <c r="H21" s="146" t="s">
        <v>1</v>
      </c>
      <c r="I21" s="285">
        <v>1800</v>
      </c>
      <c r="J21" s="289" t="s">
        <v>87</v>
      </c>
      <c r="K21" s="290" t="s">
        <v>94</v>
      </c>
      <c r="L21" s="291">
        <v>18000</v>
      </c>
      <c r="M21" s="295" t="s">
        <v>95</v>
      </c>
    </row>
    <row r="22" spans="1:13" ht="15.75" x14ac:dyDescent="0.25">
      <c r="G22" s="367" t="s">
        <v>96</v>
      </c>
      <c r="H22" s="369" t="s">
        <v>93</v>
      </c>
      <c r="I22" s="383">
        <v>7200</v>
      </c>
      <c r="J22" s="385" t="s">
        <v>87</v>
      </c>
      <c r="K22" s="277" t="s">
        <v>97</v>
      </c>
      <c r="L22" s="288">
        <v>10000</v>
      </c>
      <c r="M22" s="294" t="s">
        <v>99</v>
      </c>
    </row>
    <row r="23" spans="1:13" ht="15.75" thickBot="1" x14ac:dyDescent="0.3">
      <c r="G23" s="368"/>
      <c r="H23" s="370"/>
      <c r="I23" s="384"/>
      <c r="J23" s="382"/>
      <c r="K23" s="290" t="s">
        <v>98</v>
      </c>
      <c r="L23" s="291">
        <v>1090</v>
      </c>
      <c r="M23" s="295" t="s">
        <v>99</v>
      </c>
    </row>
    <row r="24" spans="1:13" ht="15" customHeight="1" x14ac:dyDescent="0.25">
      <c r="G24" s="367" t="s">
        <v>106</v>
      </c>
      <c r="H24" s="144" t="s">
        <v>110</v>
      </c>
      <c r="I24" s="293">
        <v>20</v>
      </c>
      <c r="J24" s="296" t="s">
        <v>99</v>
      </c>
      <c r="K24" s="149" t="s">
        <v>102</v>
      </c>
      <c r="L24" s="151">
        <v>400</v>
      </c>
      <c r="M24" s="294" t="s">
        <v>99</v>
      </c>
    </row>
    <row r="25" spans="1:13" x14ac:dyDescent="0.25">
      <c r="G25" s="386"/>
      <c r="H25" s="393" t="s">
        <v>100</v>
      </c>
      <c r="I25" s="391">
        <f>L22</f>
        <v>10000</v>
      </c>
      <c r="J25" s="392" t="s">
        <v>99</v>
      </c>
      <c r="K25" s="150" t="s">
        <v>103</v>
      </c>
      <c r="L25" s="145">
        <v>4000</v>
      </c>
      <c r="M25" s="297" t="s">
        <v>99</v>
      </c>
    </row>
    <row r="26" spans="1:13" x14ac:dyDescent="0.25">
      <c r="G26" s="387"/>
      <c r="H26" s="393"/>
      <c r="I26" s="391"/>
      <c r="J26" s="392"/>
      <c r="K26" s="150" t="s">
        <v>104</v>
      </c>
      <c r="L26" s="145">
        <v>700</v>
      </c>
      <c r="M26" s="297" t="s">
        <v>99</v>
      </c>
    </row>
    <row r="27" spans="1:13" x14ac:dyDescent="0.25">
      <c r="G27" s="387"/>
      <c r="H27" s="389" t="s">
        <v>101</v>
      </c>
      <c r="I27" s="390">
        <f>L23</f>
        <v>1090</v>
      </c>
      <c r="J27" s="381" t="s">
        <v>99</v>
      </c>
      <c r="K27" s="150" t="s">
        <v>105</v>
      </c>
      <c r="L27" s="145">
        <v>6000</v>
      </c>
      <c r="M27" s="297" t="s">
        <v>99</v>
      </c>
    </row>
    <row r="28" spans="1:13" ht="18.75" thickBot="1" x14ac:dyDescent="0.3">
      <c r="G28" s="388"/>
      <c r="H28" s="370"/>
      <c r="I28" s="384"/>
      <c r="J28" s="382"/>
      <c r="K28" s="278" t="s">
        <v>111</v>
      </c>
      <c r="L28" s="147">
        <v>10</v>
      </c>
      <c r="M28" s="295" t="s">
        <v>99</v>
      </c>
    </row>
    <row r="29" spans="1:13" ht="15.75" thickBot="1" x14ac:dyDescent="0.3">
      <c r="G29" s="284" t="s">
        <v>107</v>
      </c>
      <c r="H29" s="281" t="s">
        <v>94</v>
      </c>
      <c r="I29" s="286">
        <v>18000</v>
      </c>
      <c r="J29" s="287" t="s">
        <v>95</v>
      </c>
      <c r="K29" s="279" t="s">
        <v>108</v>
      </c>
      <c r="L29" s="179">
        <v>72000</v>
      </c>
      <c r="M29" s="287" t="s">
        <v>99</v>
      </c>
    </row>
    <row r="31" spans="1:13" ht="15.75" thickBot="1" x14ac:dyDescent="0.3"/>
    <row r="32" spans="1:13" ht="15.75" thickBot="1" x14ac:dyDescent="0.3">
      <c r="G32" s="409" t="s">
        <v>109</v>
      </c>
      <c r="H32" s="410"/>
      <c r="I32" s="410"/>
      <c r="J32" s="410"/>
      <c r="K32" s="410"/>
      <c r="L32" s="410"/>
      <c r="M32" s="152"/>
    </row>
    <row r="33" spans="7:12" ht="15.75" thickBot="1" x14ac:dyDescent="0.3">
      <c r="G33" s="394" t="s">
        <v>92</v>
      </c>
      <c r="H33" s="371" t="s">
        <v>90</v>
      </c>
      <c r="I33" s="396"/>
      <c r="J33" s="397"/>
      <c r="K33" s="405" t="s">
        <v>112</v>
      </c>
      <c r="L33" s="406"/>
    </row>
    <row r="34" spans="7:12" ht="15.75" thickBot="1" x14ac:dyDescent="0.3">
      <c r="G34" s="395"/>
      <c r="H34" s="143" t="s">
        <v>89</v>
      </c>
      <c r="I34" s="398" t="s">
        <v>115</v>
      </c>
      <c r="J34" s="399"/>
      <c r="K34" s="407"/>
      <c r="L34" s="408"/>
    </row>
    <row r="35" spans="7:12" ht="15.75" x14ac:dyDescent="0.25">
      <c r="G35" s="367" t="s">
        <v>96</v>
      </c>
      <c r="H35" s="298" t="s">
        <v>97</v>
      </c>
      <c r="I35" s="303">
        <v>0.9</v>
      </c>
      <c r="J35" s="304" t="s">
        <v>113</v>
      </c>
      <c r="K35" s="303">
        <v>0.502</v>
      </c>
      <c r="L35" s="305" t="s">
        <v>87</v>
      </c>
    </row>
    <row r="36" spans="7:12" ht="15.75" thickBot="1" x14ac:dyDescent="0.3">
      <c r="G36" s="368"/>
      <c r="H36" s="300" t="s">
        <v>98</v>
      </c>
      <c r="I36" s="306"/>
      <c r="J36" s="307"/>
      <c r="K36" s="306">
        <v>2</v>
      </c>
      <c r="L36" s="308" t="s">
        <v>87</v>
      </c>
    </row>
    <row r="37" spans="7:12" ht="15" customHeight="1" x14ac:dyDescent="0.25">
      <c r="G37" s="367" t="s">
        <v>106</v>
      </c>
      <c r="H37" s="298" t="s">
        <v>102</v>
      </c>
      <c r="I37" s="309">
        <v>2</v>
      </c>
      <c r="J37" s="310" t="s">
        <v>114</v>
      </c>
    </row>
    <row r="38" spans="7:12" x14ac:dyDescent="0.25">
      <c r="G38" s="386"/>
      <c r="H38" s="299" t="s">
        <v>103</v>
      </c>
      <c r="I38" s="301">
        <f>50%*I37</f>
        <v>1</v>
      </c>
      <c r="J38" s="311" t="s">
        <v>116</v>
      </c>
    </row>
    <row r="39" spans="7:12" x14ac:dyDescent="0.25">
      <c r="G39" s="387"/>
      <c r="H39" s="299" t="s">
        <v>104</v>
      </c>
      <c r="I39" s="302">
        <v>6</v>
      </c>
      <c r="J39" s="280" t="s">
        <v>114</v>
      </c>
    </row>
    <row r="40" spans="7:12" x14ac:dyDescent="0.25">
      <c r="G40" s="387"/>
      <c r="H40" s="299" t="s">
        <v>105</v>
      </c>
      <c r="I40" s="301">
        <f>0.6*I39</f>
        <v>3.5999999999999996</v>
      </c>
      <c r="J40" s="311" t="s">
        <v>114</v>
      </c>
    </row>
    <row r="41" spans="7:12" ht="18" x14ac:dyDescent="0.25">
      <c r="G41" s="387"/>
      <c r="H41" s="148" t="s">
        <v>110</v>
      </c>
      <c r="I41" s="302">
        <f>0.5*I39</f>
        <v>3</v>
      </c>
      <c r="J41" s="280" t="s">
        <v>114</v>
      </c>
    </row>
    <row r="42" spans="7:12" ht="18.75" thickBot="1" x14ac:dyDescent="0.3">
      <c r="G42" s="388"/>
      <c r="H42" s="300" t="s">
        <v>111</v>
      </c>
      <c r="I42" s="306">
        <f>0.7*I39</f>
        <v>4.1999999999999993</v>
      </c>
      <c r="J42" s="308" t="s">
        <v>114</v>
      </c>
    </row>
  </sheetData>
  <mergeCells count="37">
    <mergeCell ref="T3:T4"/>
    <mergeCell ref="A16:C16"/>
    <mergeCell ref="K33:L34"/>
    <mergeCell ref="G32:L32"/>
    <mergeCell ref="P2:T2"/>
    <mergeCell ref="P3:P4"/>
    <mergeCell ref="Q3:Q4"/>
    <mergeCell ref="R3:R4"/>
    <mergeCell ref="S3:S4"/>
    <mergeCell ref="G17:M17"/>
    <mergeCell ref="H18:J18"/>
    <mergeCell ref="I19:J19"/>
    <mergeCell ref="L19:M19"/>
    <mergeCell ref="K18:M18"/>
    <mergeCell ref="G18:G19"/>
    <mergeCell ref="G20:G21"/>
    <mergeCell ref="G35:G36"/>
    <mergeCell ref="G37:G42"/>
    <mergeCell ref="G33:G34"/>
    <mergeCell ref="H33:J33"/>
    <mergeCell ref="I34:J34"/>
    <mergeCell ref="J27:J28"/>
    <mergeCell ref="I22:I23"/>
    <mergeCell ref="J22:J23"/>
    <mergeCell ref="G24:G28"/>
    <mergeCell ref="H27:H28"/>
    <mergeCell ref="I27:I28"/>
    <mergeCell ref="I25:I26"/>
    <mergeCell ref="J25:J26"/>
    <mergeCell ref="H25:H26"/>
    <mergeCell ref="G2:H2"/>
    <mergeCell ref="G22:G23"/>
    <mergeCell ref="H22:H23"/>
    <mergeCell ref="A2:C2"/>
    <mergeCell ref="A3:A4"/>
    <mergeCell ref="A5:A6"/>
    <mergeCell ref="A9:D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2"/>
  <sheetViews>
    <sheetView workbookViewId="0">
      <selection activeCell="G33" sqref="G33"/>
    </sheetView>
  </sheetViews>
  <sheetFormatPr baseColWidth="10" defaultRowHeight="15" x14ac:dyDescent="0.25"/>
  <cols>
    <col min="1" max="1" width="8.5703125" customWidth="1"/>
    <col min="2" max="2" width="24.28515625" customWidth="1"/>
    <col min="3" max="3" width="13" customWidth="1"/>
    <col min="4" max="4" width="15.7109375" customWidth="1"/>
    <col min="5" max="5" width="13.42578125" customWidth="1"/>
    <col min="6" max="6" width="13.5703125" customWidth="1"/>
    <col min="7" max="7" width="11.85546875" customWidth="1"/>
  </cols>
  <sheetData>
    <row r="1" spans="2:12" x14ac:dyDescent="0.25">
      <c r="B1" s="425" t="s">
        <v>118</v>
      </c>
      <c r="C1" s="425"/>
      <c r="D1" s="425"/>
      <c r="E1" s="425"/>
    </row>
    <row r="2" spans="2:12" ht="15.75" thickBot="1" x14ac:dyDescent="0.3">
      <c r="G2" s="30"/>
      <c r="H2" s="30"/>
      <c r="I2" s="30"/>
      <c r="J2" s="30"/>
      <c r="K2" s="30"/>
      <c r="L2" s="30"/>
    </row>
    <row r="3" spans="2:12" ht="15.75" thickBot="1" x14ac:dyDescent="0.3">
      <c r="B3" s="422" t="s">
        <v>3</v>
      </c>
      <c r="C3" s="423"/>
      <c r="D3" s="423"/>
      <c r="E3" s="424"/>
      <c r="G3" s="30"/>
      <c r="H3" s="30"/>
      <c r="I3" s="30"/>
      <c r="J3" s="30"/>
      <c r="K3" s="30"/>
      <c r="L3" s="30"/>
    </row>
    <row r="4" spans="2:12" ht="15.75" thickBot="1" x14ac:dyDescent="0.3">
      <c r="B4" s="330" t="s">
        <v>83</v>
      </c>
      <c r="C4" s="331" t="s">
        <v>4</v>
      </c>
      <c r="D4" s="331" t="s">
        <v>8</v>
      </c>
      <c r="E4" s="332" t="s">
        <v>6</v>
      </c>
      <c r="G4" s="30"/>
      <c r="H4" s="431"/>
      <c r="I4" s="431"/>
      <c r="J4" s="431"/>
      <c r="K4" s="431"/>
      <c r="L4" s="30"/>
    </row>
    <row r="5" spans="2:12" x14ac:dyDescent="0.25">
      <c r="B5" s="24" t="s">
        <v>2</v>
      </c>
      <c r="C5" s="25">
        <f>'Datos de partida'!B11</f>
        <v>11000</v>
      </c>
      <c r="D5" s="25">
        <f>'Datos de partida'!C11</f>
        <v>0.36</v>
      </c>
      <c r="E5" s="26">
        <f>+C5*D5</f>
        <v>3960</v>
      </c>
      <c r="G5" s="30"/>
      <c r="H5" s="276"/>
      <c r="I5" s="276"/>
      <c r="J5" s="276"/>
      <c r="K5" s="334"/>
      <c r="L5" s="30"/>
    </row>
    <row r="6" spans="2:12" ht="15.75" thickBot="1" x14ac:dyDescent="0.3">
      <c r="B6" s="4" t="s">
        <v>81</v>
      </c>
      <c r="C6" s="20">
        <f>'Datos de partida'!B12</f>
        <v>77000</v>
      </c>
      <c r="D6" s="20">
        <f>'Datos de partida'!C12</f>
        <v>0.38</v>
      </c>
      <c r="E6" s="21">
        <f t="shared" ref="E6:E7" si="0">+C6*D6</f>
        <v>29260</v>
      </c>
      <c r="G6" s="30"/>
      <c r="H6" s="335"/>
      <c r="I6" s="336"/>
      <c r="J6" s="336"/>
      <c r="K6" s="336"/>
      <c r="L6" s="30"/>
    </row>
    <row r="7" spans="2:12" ht="15.75" thickBot="1" x14ac:dyDescent="0.3">
      <c r="B7" s="86" t="s">
        <v>4</v>
      </c>
      <c r="C7" s="88">
        <f>'Datos de partida'!I20</f>
        <v>78000</v>
      </c>
      <c r="D7" s="91">
        <f>(E5+E6)/(C5+C6)</f>
        <v>0.3775</v>
      </c>
      <c r="E7" s="88">
        <f t="shared" si="0"/>
        <v>29445</v>
      </c>
      <c r="G7" s="30"/>
      <c r="H7" s="335"/>
      <c r="I7" s="336"/>
      <c r="J7" s="336"/>
      <c r="K7" s="336"/>
      <c r="L7" s="30"/>
    </row>
    <row r="8" spans="2:12" x14ac:dyDescent="0.25">
      <c r="G8" s="30"/>
      <c r="H8" s="30"/>
      <c r="I8" s="30"/>
      <c r="J8" s="30"/>
      <c r="K8" s="30"/>
      <c r="L8" s="30"/>
    </row>
    <row r="10" spans="2:12" x14ac:dyDescent="0.25">
      <c r="B10" s="425" t="s">
        <v>169</v>
      </c>
      <c r="C10" s="425"/>
      <c r="D10" s="425"/>
      <c r="E10" s="425"/>
    </row>
    <row r="11" spans="2:12" ht="15.75" thickBot="1" x14ac:dyDescent="0.3"/>
    <row r="12" spans="2:12" ht="15.75" thickBot="1" x14ac:dyDescent="0.3">
      <c r="B12" s="426" t="s">
        <v>7</v>
      </c>
      <c r="C12" s="403"/>
      <c r="D12" s="403"/>
      <c r="E12" s="403"/>
      <c r="F12" s="403"/>
      <c r="G12" s="427"/>
    </row>
    <row r="13" spans="2:12" ht="15.75" thickBot="1" x14ac:dyDescent="0.3">
      <c r="B13" s="333" t="s">
        <v>83</v>
      </c>
      <c r="C13" s="331" t="s">
        <v>14</v>
      </c>
      <c r="D13" s="331" t="s">
        <v>42</v>
      </c>
      <c r="E13" s="331" t="s">
        <v>6</v>
      </c>
      <c r="F13" s="331" t="s">
        <v>43</v>
      </c>
      <c r="G13" s="332" t="s">
        <v>74</v>
      </c>
    </row>
    <row r="14" spans="2:12" x14ac:dyDescent="0.25">
      <c r="B14" s="24" t="s">
        <v>9</v>
      </c>
      <c r="C14" s="25">
        <f>'Datos de partida'!C4</f>
        <v>400</v>
      </c>
      <c r="D14" s="28">
        <f>'Datos de partida'!B18</f>
        <v>1.4999999999999999E-2</v>
      </c>
      <c r="E14" s="25">
        <f>+C14*D14</f>
        <v>6</v>
      </c>
      <c r="F14" s="25">
        <f>$F$22*E14</f>
        <v>24</v>
      </c>
      <c r="G14" s="42">
        <f>+F14/C14</f>
        <v>0.06</v>
      </c>
    </row>
    <row r="15" spans="2:12" ht="15.75" thickBot="1" x14ac:dyDescent="0.3">
      <c r="B15" s="7" t="s">
        <v>12</v>
      </c>
      <c r="C15" s="316">
        <f>'Datos de partida'!L26</f>
        <v>700</v>
      </c>
      <c r="D15" s="317">
        <f>'Datos de partida'!B18</f>
        <v>1.4999999999999999E-2</v>
      </c>
      <c r="E15" s="316">
        <f t="shared" ref="E15" si="1">+C15*D15</f>
        <v>10.5</v>
      </c>
      <c r="F15" s="316">
        <f>$F$22*E15</f>
        <v>42</v>
      </c>
      <c r="G15" s="318">
        <f t="shared" ref="G15" si="2">+F15/C15</f>
        <v>0.06</v>
      </c>
    </row>
    <row r="16" spans="2:12" ht="15.75" thickBot="1" x14ac:dyDescent="0.3">
      <c r="B16" s="428" t="s">
        <v>16</v>
      </c>
      <c r="C16" s="429"/>
      <c r="D16" s="430"/>
      <c r="E16" s="320">
        <f>SUM(E14:E15)</f>
        <v>16.5</v>
      </c>
      <c r="F16" s="321">
        <f>+F14+F15</f>
        <v>66</v>
      </c>
      <c r="G16" s="312"/>
    </row>
    <row r="17" spans="2:11" x14ac:dyDescent="0.25">
      <c r="B17" s="216" t="s">
        <v>11</v>
      </c>
      <c r="C17" s="313">
        <f>'Datos de partida'!C3</f>
        <v>4000</v>
      </c>
      <c r="D17" s="314">
        <f>'Datos de partida'!B17</f>
        <v>0.01</v>
      </c>
      <c r="E17" s="313">
        <f t="shared" ref="E17:E18" si="3">+C17*D17</f>
        <v>40</v>
      </c>
      <c r="F17" s="313">
        <f>$F$22*E17</f>
        <v>160</v>
      </c>
      <c r="G17" s="315">
        <f t="shared" ref="G17:G18" si="4">+F17/C17</f>
        <v>0.04</v>
      </c>
    </row>
    <row r="18" spans="2:11" ht="15.75" thickBot="1" x14ac:dyDescent="0.3">
      <c r="B18" s="7" t="s">
        <v>10</v>
      </c>
      <c r="C18" s="316">
        <f>'Datos de partida'!C5</f>
        <v>6000</v>
      </c>
      <c r="D18" s="317">
        <f>'Datos de partida'!B17</f>
        <v>0.01</v>
      </c>
      <c r="E18" s="316">
        <f t="shared" si="3"/>
        <v>60</v>
      </c>
      <c r="F18" s="316">
        <f>$F$22*E18</f>
        <v>240</v>
      </c>
      <c r="G18" s="318">
        <f t="shared" si="4"/>
        <v>0.04</v>
      </c>
    </row>
    <row r="19" spans="2:11" ht="15.75" thickBot="1" x14ac:dyDescent="0.3">
      <c r="B19" s="438" t="s">
        <v>131</v>
      </c>
      <c r="C19" s="439"/>
      <c r="D19" s="440"/>
      <c r="E19" s="94">
        <f>SUM(E17:E18)</f>
        <v>100</v>
      </c>
      <c r="F19" s="94">
        <f t="shared" ref="F19" si="5">+F17+F18</f>
        <v>400</v>
      </c>
      <c r="G19" s="319"/>
    </row>
    <row r="20" spans="2:11" ht="15.75" thickBot="1" x14ac:dyDescent="0.3">
      <c r="B20" s="209" t="s">
        <v>6</v>
      </c>
      <c r="C20" s="92"/>
      <c r="D20" s="90"/>
      <c r="E20" s="93">
        <f>E19+E16</f>
        <v>116.5</v>
      </c>
      <c r="F20" s="93">
        <f>F16+F19</f>
        <v>466</v>
      </c>
      <c r="G20" s="3"/>
    </row>
    <row r="21" spans="2:11" ht="15.75" thickBot="1" x14ac:dyDescent="0.3"/>
    <row r="22" spans="2:11" ht="15.75" thickBot="1" x14ac:dyDescent="0.3">
      <c r="B22" s="95" t="s">
        <v>13</v>
      </c>
      <c r="C22" s="96"/>
      <c r="D22" s="96"/>
      <c r="E22" s="97"/>
      <c r="F22" s="98">
        <f>'Datos de partida'!H6/'Cálculos comunes'!E20</f>
        <v>4</v>
      </c>
    </row>
    <row r="24" spans="2:11" x14ac:dyDescent="0.25">
      <c r="I24" s="164"/>
    </row>
    <row r="25" spans="2:11" x14ac:dyDescent="0.25">
      <c r="B25" s="425" t="s">
        <v>121</v>
      </c>
      <c r="C25" s="425"/>
      <c r="D25" s="425"/>
      <c r="E25" s="425"/>
    </row>
    <row r="26" spans="2:11" ht="15.75" thickBot="1" x14ac:dyDescent="0.3"/>
    <row r="27" spans="2:11" ht="15.75" thickBot="1" x14ac:dyDescent="0.3">
      <c r="B27" s="402" t="s">
        <v>5</v>
      </c>
      <c r="C27" s="435"/>
      <c r="D27" s="435"/>
      <c r="E27" s="436"/>
      <c r="G27" s="30"/>
      <c r="H27" s="30"/>
      <c r="I27" s="30"/>
      <c r="J27" s="30"/>
      <c r="K27" s="30"/>
    </row>
    <row r="28" spans="2:11" ht="15.75" thickBot="1" x14ac:dyDescent="0.3">
      <c r="B28" s="333"/>
      <c r="C28" s="330" t="s">
        <v>4</v>
      </c>
      <c r="D28" s="331" t="s">
        <v>8</v>
      </c>
      <c r="E28" s="332" t="s">
        <v>6</v>
      </c>
      <c r="G28" s="30"/>
      <c r="H28" s="30"/>
      <c r="I28" s="30"/>
      <c r="J28" s="30"/>
      <c r="K28" s="30"/>
    </row>
    <row r="29" spans="2:11" x14ac:dyDescent="0.25">
      <c r="B29" s="24" t="s">
        <v>0</v>
      </c>
      <c r="C29" s="25">
        <f>C7</f>
        <v>78000</v>
      </c>
      <c r="D29" s="27">
        <f>D7</f>
        <v>0.3775</v>
      </c>
      <c r="E29" s="26">
        <f t="shared" ref="E29:E30" si="6">+C29*D29</f>
        <v>29445</v>
      </c>
      <c r="G29" s="30"/>
      <c r="H29" s="30"/>
      <c r="I29" s="30"/>
      <c r="J29" s="30"/>
      <c r="K29" s="30"/>
    </row>
    <row r="30" spans="2:11" x14ac:dyDescent="0.25">
      <c r="B30" s="2" t="s">
        <v>1</v>
      </c>
      <c r="C30" s="20">
        <f>'Datos de partida'!I21</f>
        <v>1800</v>
      </c>
      <c r="D30" s="20">
        <f>'Datos de partida'!B14</f>
        <v>3.5</v>
      </c>
      <c r="E30" s="21">
        <f t="shared" si="6"/>
        <v>6300</v>
      </c>
      <c r="G30" s="276"/>
      <c r="H30" s="276"/>
      <c r="I30" s="276"/>
      <c r="J30" s="30"/>
      <c r="K30" s="30"/>
    </row>
    <row r="31" spans="2:11" x14ac:dyDescent="0.25">
      <c r="B31" s="4" t="s">
        <v>122</v>
      </c>
      <c r="C31" s="22"/>
      <c r="D31" s="22"/>
      <c r="E31" s="23">
        <f>'Datos de partida'!H5</f>
        <v>8100</v>
      </c>
      <c r="G31" s="30"/>
      <c r="H31" s="30"/>
      <c r="I31" s="30"/>
      <c r="J31" s="30"/>
      <c r="K31" s="30"/>
    </row>
    <row r="32" spans="2:11" ht="15.75" thickBot="1" x14ac:dyDescent="0.3">
      <c r="B32" s="4" t="s">
        <v>66</v>
      </c>
      <c r="C32" s="22"/>
      <c r="D32" s="22"/>
      <c r="E32" s="23">
        <f>'Datos de partida'!H7</f>
        <v>110955</v>
      </c>
      <c r="G32" s="30"/>
      <c r="H32" s="30"/>
      <c r="I32" s="30"/>
      <c r="J32" s="30"/>
      <c r="K32" s="30"/>
    </row>
    <row r="33" spans="2:11" ht="15.75" thickBot="1" x14ac:dyDescent="0.3">
      <c r="B33" s="89" t="s">
        <v>6</v>
      </c>
      <c r="C33" s="167"/>
      <c r="D33" s="87"/>
      <c r="E33" s="168">
        <f>SUM(E29:E32)</f>
        <v>154800</v>
      </c>
      <c r="G33" s="30"/>
      <c r="H33" s="30"/>
      <c r="I33" s="30"/>
      <c r="J33" s="30"/>
      <c r="K33" s="30"/>
    </row>
    <row r="36" spans="2:11" x14ac:dyDescent="0.25">
      <c r="B36" s="425" t="s">
        <v>127</v>
      </c>
      <c r="C36" s="425"/>
      <c r="D36" s="425"/>
      <c r="E36" s="425"/>
    </row>
    <row r="37" spans="2:11" ht="15.75" thickBot="1" x14ac:dyDescent="0.3"/>
    <row r="38" spans="2:11" ht="15.75" thickBot="1" x14ac:dyDescent="0.3">
      <c r="B38" s="437" t="s">
        <v>28</v>
      </c>
      <c r="C38" s="433"/>
      <c r="D38" s="433"/>
      <c r="E38" s="433"/>
      <c r="F38" s="433"/>
      <c r="G38" s="434"/>
    </row>
    <row r="39" spans="2:11" x14ac:dyDescent="0.25">
      <c r="B39" s="322"/>
      <c r="C39" s="328" t="s">
        <v>23</v>
      </c>
      <c r="D39" s="323" t="s">
        <v>25</v>
      </c>
      <c r="E39" s="324" t="s">
        <v>23</v>
      </c>
      <c r="F39" s="324" t="s">
        <v>15</v>
      </c>
      <c r="G39" s="325" t="s">
        <v>15</v>
      </c>
    </row>
    <row r="40" spans="2:11" ht="15.75" thickBot="1" x14ac:dyDescent="0.3">
      <c r="B40" s="326"/>
      <c r="C40" s="329" t="s">
        <v>24</v>
      </c>
      <c r="D40" s="327" t="s">
        <v>72</v>
      </c>
      <c r="E40" s="120" t="s">
        <v>26</v>
      </c>
      <c r="F40" s="120" t="s">
        <v>6</v>
      </c>
      <c r="G40" s="121" t="s">
        <v>27</v>
      </c>
    </row>
    <row r="41" spans="2:11" x14ac:dyDescent="0.25">
      <c r="B41" s="337" t="s">
        <v>29</v>
      </c>
      <c r="C41" s="177">
        <f>'Datos de partida'!L23</f>
        <v>1090</v>
      </c>
      <c r="D41" s="25">
        <v>1</v>
      </c>
      <c r="E41" s="25">
        <f>+C41*D41</f>
        <v>1090</v>
      </c>
      <c r="F41" s="25">
        <f>$F$46*E41</f>
        <v>4578</v>
      </c>
      <c r="G41" s="26">
        <f>+F41/C41</f>
        <v>4.2</v>
      </c>
    </row>
    <row r="42" spans="2:11" ht="15.75" thickBot="1" x14ac:dyDescent="0.3">
      <c r="B42" s="338" t="s">
        <v>30</v>
      </c>
      <c r="C42" s="176">
        <f>'Datos de partida'!L22</f>
        <v>10000</v>
      </c>
      <c r="D42" s="55">
        <f>'Datos de partida'!I35*D41</f>
        <v>0.9</v>
      </c>
      <c r="E42" s="55">
        <f>+C42*D42</f>
        <v>9000</v>
      </c>
      <c r="F42" s="55">
        <f>$F$46*E42</f>
        <v>37800</v>
      </c>
      <c r="G42" s="142">
        <f>+F42/C42</f>
        <v>3.78</v>
      </c>
    </row>
    <row r="43" spans="2:11" ht="15.75" thickBot="1" x14ac:dyDescent="0.3">
      <c r="B43" s="3"/>
      <c r="C43" s="41"/>
      <c r="D43" s="41"/>
      <c r="E43" s="41"/>
      <c r="F43" s="41"/>
      <c r="G43" s="41"/>
    </row>
    <row r="44" spans="2:11" ht="15.75" thickBot="1" x14ac:dyDescent="0.3">
      <c r="B44" s="13"/>
      <c r="C44" s="41"/>
      <c r="D44" s="41"/>
      <c r="E44" s="173">
        <f>SUM(E41:E43)</f>
        <v>10090</v>
      </c>
      <c r="F44" s="174">
        <f>SUM(F41:F42)</f>
        <v>42378</v>
      </c>
      <c r="G44" s="41"/>
    </row>
    <row r="45" spans="2:11" ht="15.75" thickBot="1" x14ac:dyDescent="0.3"/>
    <row r="46" spans="2:11" ht="15.75" thickBot="1" x14ac:dyDescent="0.3">
      <c r="C46" s="172" t="s">
        <v>125</v>
      </c>
      <c r="D46" s="171"/>
      <c r="E46" s="171"/>
      <c r="F46" s="184">
        <f>'Datos de partida'!H8/'Cálculos comunes'!E44</f>
        <v>4.2</v>
      </c>
    </row>
    <row r="48" spans="2:11" x14ac:dyDescent="0.25">
      <c r="B48" s="425" t="s">
        <v>128</v>
      </c>
      <c r="C48" s="425"/>
      <c r="D48" s="425"/>
      <c r="E48" s="425"/>
    </row>
    <row r="49" spans="2:11" ht="15.75" thickBot="1" x14ac:dyDescent="0.3"/>
    <row r="50" spans="2:11" ht="15.75" thickBot="1" x14ac:dyDescent="0.3">
      <c r="B50" s="432" t="s">
        <v>73</v>
      </c>
      <c r="C50" s="433"/>
      <c r="D50" s="433"/>
      <c r="E50" s="433"/>
      <c r="F50" s="433"/>
      <c r="G50" s="434"/>
    </row>
    <row r="51" spans="2:11" x14ac:dyDescent="0.25">
      <c r="B51" s="322"/>
      <c r="C51" s="323" t="s">
        <v>23</v>
      </c>
      <c r="D51" s="323" t="s">
        <v>25</v>
      </c>
      <c r="E51" s="324" t="s">
        <v>23</v>
      </c>
      <c r="F51" s="324" t="s">
        <v>15</v>
      </c>
      <c r="G51" s="325" t="s">
        <v>15</v>
      </c>
    </row>
    <row r="52" spans="2:11" ht="15.75" thickBot="1" x14ac:dyDescent="0.3">
      <c r="B52" s="326"/>
      <c r="C52" s="327" t="s">
        <v>24</v>
      </c>
      <c r="D52" s="327" t="s">
        <v>72</v>
      </c>
      <c r="E52" s="120" t="s">
        <v>26</v>
      </c>
      <c r="F52" s="120" t="s">
        <v>6</v>
      </c>
      <c r="G52" s="121" t="s">
        <v>27</v>
      </c>
    </row>
    <row r="53" spans="2:11" x14ac:dyDescent="0.25">
      <c r="B53" s="337" t="s">
        <v>31</v>
      </c>
      <c r="C53" s="177">
        <f>'Datos de partida'!L24</f>
        <v>400</v>
      </c>
      <c r="D53" s="25">
        <f>'Datos de partida'!I37</f>
        <v>2</v>
      </c>
      <c r="E53" s="25">
        <f t="shared" ref="E53:E58" si="7">+C53*D53</f>
        <v>800</v>
      </c>
      <c r="F53" s="25">
        <f t="shared" ref="F53:F58" si="8">$F$62*E53</f>
        <v>1680</v>
      </c>
      <c r="G53" s="26">
        <f t="shared" ref="G53:G58" si="9">+F53/C53</f>
        <v>4.2</v>
      </c>
      <c r="K53" s="226"/>
    </row>
    <row r="54" spans="2:11" x14ac:dyDescent="0.25">
      <c r="B54" s="339" t="s">
        <v>32</v>
      </c>
      <c r="C54" s="175">
        <f>'Datos de partida'!L25</f>
        <v>4000</v>
      </c>
      <c r="D54" s="20">
        <f>'Datos de partida'!I38</f>
        <v>1</v>
      </c>
      <c r="E54" s="20">
        <f t="shared" si="7"/>
        <v>4000</v>
      </c>
      <c r="F54" s="20">
        <f t="shared" si="8"/>
        <v>8400</v>
      </c>
      <c r="G54" s="183">
        <f t="shared" si="9"/>
        <v>2.1</v>
      </c>
      <c r="K54" s="226"/>
    </row>
    <row r="55" spans="2:11" x14ac:dyDescent="0.25">
      <c r="B55" s="339" t="s">
        <v>33</v>
      </c>
      <c r="C55" s="175">
        <f>'Datos de partida'!L26-'Datos de partida'!I24</f>
        <v>680</v>
      </c>
      <c r="D55" s="20">
        <f>'Datos de partida'!I39</f>
        <v>6</v>
      </c>
      <c r="E55" s="20">
        <f t="shared" si="7"/>
        <v>4080</v>
      </c>
      <c r="F55" s="20">
        <f t="shared" si="8"/>
        <v>8568</v>
      </c>
      <c r="G55" s="183">
        <f t="shared" si="9"/>
        <v>12.6</v>
      </c>
      <c r="K55" s="226"/>
    </row>
    <row r="56" spans="2:11" x14ac:dyDescent="0.25">
      <c r="B56" s="339" t="s">
        <v>34</v>
      </c>
      <c r="C56" s="175">
        <f>'Datos de partida'!C5</f>
        <v>6000</v>
      </c>
      <c r="D56" s="20">
        <f>'Datos de partida'!I40</f>
        <v>3.5999999999999996</v>
      </c>
      <c r="E56" s="20">
        <f t="shared" si="7"/>
        <v>21599.999999999996</v>
      </c>
      <c r="F56" s="20">
        <f t="shared" si="8"/>
        <v>45359.999999999993</v>
      </c>
      <c r="G56" s="183">
        <f t="shared" si="9"/>
        <v>7.5599999999999987</v>
      </c>
      <c r="K56" s="226"/>
    </row>
    <row r="57" spans="2:11" x14ac:dyDescent="0.25">
      <c r="B57" s="340" t="s">
        <v>71</v>
      </c>
      <c r="C57" s="180">
        <f>'Datos de partida'!I24</f>
        <v>20</v>
      </c>
      <c r="D57" s="178">
        <f>'Datos de partida'!I41</f>
        <v>3</v>
      </c>
      <c r="E57" s="20">
        <f t="shared" si="7"/>
        <v>60</v>
      </c>
      <c r="F57" s="20">
        <f t="shared" si="8"/>
        <v>126</v>
      </c>
      <c r="G57" s="183">
        <f t="shared" si="9"/>
        <v>6.3</v>
      </c>
      <c r="K57" s="226"/>
    </row>
    <row r="58" spans="2:11" ht="15.75" thickBot="1" x14ac:dyDescent="0.3">
      <c r="B58" s="341" t="s">
        <v>70</v>
      </c>
      <c r="C58" s="181">
        <f>'Datos de partida'!L28</f>
        <v>10</v>
      </c>
      <c r="D58" s="182">
        <f>'Datos de partida'!I42</f>
        <v>4.1999999999999993</v>
      </c>
      <c r="E58" s="55">
        <f t="shared" si="7"/>
        <v>41.999999999999993</v>
      </c>
      <c r="F58" s="55">
        <f t="shared" si="8"/>
        <v>88.199999999999989</v>
      </c>
      <c r="G58" s="56">
        <f t="shared" si="9"/>
        <v>8.8199999999999985</v>
      </c>
      <c r="K58" s="226"/>
    </row>
    <row r="59" spans="2:11" ht="15.75" thickBot="1" x14ac:dyDescent="0.3">
      <c r="B59" s="13"/>
      <c r="C59" s="13"/>
      <c r="D59" s="13"/>
      <c r="E59" s="13"/>
      <c r="F59" s="13"/>
      <c r="G59" s="41"/>
    </row>
    <row r="60" spans="2:11" ht="15.75" thickBot="1" x14ac:dyDescent="0.3">
      <c r="B60" s="13"/>
      <c r="C60" s="41"/>
      <c r="D60" s="41"/>
      <c r="E60" s="173">
        <f>SUM(E53:E58)</f>
        <v>30581.999999999996</v>
      </c>
      <c r="F60" s="185">
        <f>SUM(F53:F58)</f>
        <v>64222.19999999999</v>
      </c>
      <c r="G60" s="41"/>
    </row>
    <row r="61" spans="2:11" ht="15.75" thickBot="1" x14ac:dyDescent="0.3"/>
    <row r="62" spans="2:11" ht="15.75" thickBot="1" x14ac:dyDescent="0.3">
      <c r="C62" s="172" t="s">
        <v>125</v>
      </c>
      <c r="D62" s="171"/>
      <c r="E62" s="171"/>
      <c r="F62" s="184">
        <f>'Datos de partida'!H9/'Cálculos comunes'!E60</f>
        <v>2.1</v>
      </c>
    </row>
  </sheetData>
  <mergeCells count="13">
    <mergeCell ref="H4:K4"/>
    <mergeCell ref="B48:E48"/>
    <mergeCell ref="B50:G50"/>
    <mergeCell ref="B25:E25"/>
    <mergeCell ref="B27:E27"/>
    <mergeCell ref="B38:G38"/>
    <mergeCell ref="B36:E36"/>
    <mergeCell ref="B19:D19"/>
    <mergeCell ref="B3:E3"/>
    <mergeCell ref="B1:E1"/>
    <mergeCell ref="B10:E10"/>
    <mergeCell ref="B12:G12"/>
    <mergeCell ref="B16:D16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workbookViewId="0">
      <selection activeCell="C9" sqref="C9"/>
    </sheetView>
  </sheetViews>
  <sheetFormatPr baseColWidth="10" defaultRowHeight="15" x14ac:dyDescent="0.25"/>
  <cols>
    <col min="1" max="1" width="8.28515625" customWidth="1"/>
    <col min="2" max="2" width="30.85546875" customWidth="1"/>
    <col min="4" max="4" width="9.85546875" customWidth="1"/>
    <col min="5" max="5" width="13" customWidth="1"/>
  </cols>
  <sheetData>
    <row r="1" spans="2:7" ht="15" customHeight="1" x14ac:dyDescent="0.25">
      <c r="B1" s="443" t="s">
        <v>160</v>
      </c>
      <c r="C1" s="444"/>
      <c r="D1" s="444"/>
      <c r="E1" s="444"/>
      <c r="F1" s="444"/>
      <c r="G1" s="444"/>
    </row>
    <row r="2" spans="2:7" ht="15" customHeight="1" x14ac:dyDescent="0.25">
      <c r="B2" s="444"/>
      <c r="C2" s="444"/>
      <c r="D2" s="444"/>
      <c r="E2" s="444"/>
      <c r="F2" s="444"/>
      <c r="G2" s="444"/>
    </row>
    <row r="4" spans="2:7" x14ac:dyDescent="0.25">
      <c r="B4" s="445" t="s">
        <v>126</v>
      </c>
      <c r="C4" s="445"/>
      <c r="D4" s="445"/>
      <c r="E4" s="445"/>
    </row>
    <row r="5" spans="2:7" ht="15.75" thickBot="1" x14ac:dyDescent="0.3"/>
    <row r="6" spans="2:7" x14ac:dyDescent="0.25">
      <c r="B6" s="426" t="s">
        <v>124</v>
      </c>
      <c r="C6" s="403"/>
      <c r="D6" s="403"/>
      <c r="E6" s="427"/>
    </row>
    <row r="7" spans="2:7" x14ac:dyDescent="0.25">
      <c r="B7" s="342"/>
      <c r="C7" s="169" t="s">
        <v>21</v>
      </c>
      <c r="D7" s="169" t="s">
        <v>123</v>
      </c>
      <c r="E7" s="240" t="s">
        <v>15</v>
      </c>
    </row>
    <row r="8" spans="2:7" ht="15.75" thickBot="1" x14ac:dyDescent="0.3">
      <c r="B8" s="6" t="s">
        <v>5</v>
      </c>
      <c r="C8" s="85"/>
      <c r="D8" s="85"/>
      <c r="E8" s="170">
        <f>'Cálculos comunes'!E33</f>
        <v>154800</v>
      </c>
    </row>
    <row r="9" spans="2:7" ht="15.75" thickBot="1" x14ac:dyDescent="0.3">
      <c r="B9" s="79" t="s">
        <v>22</v>
      </c>
      <c r="C9" s="82">
        <f>'Datos de partida'!L20</f>
        <v>7200</v>
      </c>
      <c r="D9" s="81">
        <f>+E9/C9</f>
        <v>21.5</v>
      </c>
      <c r="E9" s="82">
        <f>+E8</f>
        <v>154800</v>
      </c>
    </row>
    <row r="13" spans="2:7" x14ac:dyDescent="0.25">
      <c r="B13" s="445" t="s">
        <v>135</v>
      </c>
      <c r="C13" s="445"/>
      <c r="D13" s="445"/>
      <c r="E13" s="445"/>
    </row>
    <row r="14" spans="2:7" ht="15.75" thickBot="1" x14ac:dyDescent="0.3"/>
    <row r="15" spans="2:7" ht="15.75" thickBot="1" x14ac:dyDescent="0.3">
      <c r="B15" s="446" t="s">
        <v>41</v>
      </c>
      <c r="C15" s="447"/>
      <c r="D15" s="447"/>
      <c r="E15" s="447"/>
      <c r="F15" s="447"/>
      <c r="G15" s="448"/>
    </row>
    <row r="16" spans="2:7" x14ac:dyDescent="0.25">
      <c r="B16" s="68"/>
      <c r="C16" s="69"/>
      <c r="D16" s="69"/>
      <c r="E16" s="30"/>
      <c r="F16" s="431"/>
      <c r="G16" s="442"/>
    </row>
    <row r="17" spans="2:8" x14ac:dyDescent="0.25">
      <c r="B17" s="68"/>
      <c r="C17" s="57" t="s">
        <v>38</v>
      </c>
      <c r="D17" s="58" t="s">
        <v>37</v>
      </c>
      <c r="E17" s="58" t="s">
        <v>40</v>
      </c>
      <c r="F17" s="186" t="s">
        <v>39</v>
      </c>
      <c r="G17" s="59" t="s">
        <v>70</v>
      </c>
    </row>
    <row r="18" spans="2:8" x14ac:dyDescent="0.25">
      <c r="B18" s="68"/>
      <c r="C18" s="30"/>
      <c r="D18" s="69"/>
      <c r="E18" s="30"/>
      <c r="F18" s="30"/>
      <c r="G18" s="70"/>
    </row>
    <row r="19" spans="2:8" x14ac:dyDescent="0.25">
      <c r="B19" s="61" t="s">
        <v>35</v>
      </c>
      <c r="C19" s="60">
        <f>+'Datos de partida'!$K$35*'Apartado 2.A.'!D9</f>
        <v>10.792999999999999</v>
      </c>
      <c r="D19" s="60">
        <f>'Datos de partida'!K36*'Apartado 2.A.'!D9</f>
        <v>43</v>
      </c>
      <c r="E19" s="60">
        <f>+'Datos de partida'!K35*'Apartado 2.A.'!D9</f>
        <v>10.792999999999999</v>
      </c>
      <c r="F19" s="60">
        <f>+'Datos de partida'!K36*'Apartado 2.A.'!D9</f>
        <v>43</v>
      </c>
      <c r="G19" s="62">
        <f>'Datos de partida'!K36*'Apartado 2.A.'!D9</f>
        <v>43</v>
      </c>
    </row>
    <row r="20" spans="2:8" x14ac:dyDescent="0.25">
      <c r="B20" s="61" t="s">
        <v>129</v>
      </c>
      <c r="C20" s="60">
        <f>'Cálculos comunes'!G42</f>
        <v>3.78</v>
      </c>
      <c r="D20" s="60">
        <f>'Cálculos comunes'!G41</f>
        <v>4.2</v>
      </c>
      <c r="E20" s="60">
        <f>'Cálculos comunes'!G42</f>
        <v>3.78</v>
      </c>
      <c r="F20" s="60">
        <f>'Cálculos comunes'!G41</f>
        <v>4.2</v>
      </c>
      <c r="G20" s="62">
        <f>'Cálculos comunes'!G41</f>
        <v>4.2</v>
      </c>
    </row>
    <row r="21" spans="2:8" x14ac:dyDescent="0.25">
      <c r="B21" s="61" t="s">
        <v>130</v>
      </c>
      <c r="C21" s="60">
        <f>'Cálculos comunes'!G54</f>
        <v>2.1</v>
      </c>
      <c r="D21" s="60">
        <f>'Cálculos comunes'!G53</f>
        <v>4.2</v>
      </c>
      <c r="E21" s="60">
        <f>'Cálculos comunes'!G56</f>
        <v>7.5599999999999987</v>
      </c>
      <c r="F21" s="60">
        <f>'Cálculos comunes'!G55</f>
        <v>12.6</v>
      </c>
      <c r="G21" s="62">
        <f>'Cálculos comunes'!G58</f>
        <v>8.8199999999999985</v>
      </c>
    </row>
    <row r="22" spans="2:8" x14ac:dyDescent="0.25">
      <c r="B22" s="61" t="s">
        <v>133</v>
      </c>
      <c r="C22" s="60">
        <f>'Datos de partida'!B17</f>
        <v>0.01</v>
      </c>
      <c r="D22" s="63"/>
      <c r="E22" s="60">
        <f>'Datos de partida'!B17</f>
        <v>0.01</v>
      </c>
      <c r="F22" s="187"/>
      <c r="G22" s="64"/>
    </row>
    <row r="23" spans="2:8" x14ac:dyDescent="0.25">
      <c r="B23" s="61" t="s">
        <v>132</v>
      </c>
      <c r="C23" s="63">
        <f>'Cálculos comunes'!G17</f>
        <v>0.04</v>
      </c>
      <c r="D23" s="63"/>
      <c r="E23" s="63">
        <f>'Cálculos comunes'!G17</f>
        <v>0.04</v>
      </c>
      <c r="F23" s="187"/>
      <c r="G23" s="64"/>
    </row>
    <row r="24" spans="2:8" x14ac:dyDescent="0.25">
      <c r="B24" s="61" t="s">
        <v>36</v>
      </c>
      <c r="C24" s="65"/>
      <c r="D24" s="63">
        <f>'Datos de partida'!B18</f>
        <v>1.4999999999999999E-2</v>
      </c>
      <c r="E24" s="60"/>
      <c r="F24" s="187">
        <f>'Datos de partida'!B18</f>
        <v>1.4999999999999999E-2</v>
      </c>
      <c r="G24" s="64"/>
    </row>
    <row r="25" spans="2:8" x14ac:dyDescent="0.25">
      <c r="B25" s="61" t="s">
        <v>134</v>
      </c>
      <c r="C25" s="65"/>
      <c r="D25" s="63">
        <f>'Cálculos comunes'!G14</f>
        <v>0.06</v>
      </c>
      <c r="E25" s="63"/>
      <c r="F25" s="187">
        <f>'Cálculos comunes'!G15</f>
        <v>0.06</v>
      </c>
      <c r="G25" s="64"/>
    </row>
    <row r="26" spans="2:8" ht="15.75" thickBot="1" x14ac:dyDescent="0.3">
      <c r="B26" s="6"/>
      <c r="C26" s="71"/>
      <c r="D26" s="72"/>
      <c r="E26" s="71"/>
      <c r="F26" s="71"/>
      <c r="G26" s="73"/>
    </row>
    <row r="27" spans="2:8" ht="15.75" thickBot="1" x14ac:dyDescent="0.3">
      <c r="B27" s="66" t="s">
        <v>136</v>
      </c>
      <c r="C27" s="188">
        <f>SUM(C19:C25)</f>
        <v>16.722999999999999</v>
      </c>
      <c r="D27" s="188">
        <f>SUM(D19:D25)</f>
        <v>51.475000000000009</v>
      </c>
      <c r="E27" s="188">
        <f>SUM(E19:E25)</f>
        <v>22.182999999999996</v>
      </c>
      <c r="F27" s="188">
        <f>SUM(F19:F25)</f>
        <v>59.875000000000007</v>
      </c>
      <c r="G27" s="189">
        <f t="shared" ref="G27" si="0">SUM(G19:G25)</f>
        <v>56.02</v>
      </c>
    </row>
    <row r="29" spans="2:8" x14ac:dyDescent="0.25">
      <c r="B29" s="30"/>
      <c r="C29" s="30"/>
      <c r="D29" s="30"/>
      <c r="E29" s="30"/>
      <c r="F29" s="30"/>
      <c r="G29" s="30"/>
      <c r="H29" s="30"/>
    </row>
    <row r="30" spans="2:8" x14ac:dyDescent="0.25">
      <c r="B30" s="441"/>
      <c r="C30" s="441"/>
      <c r="D30" s="441"/>
      <c r="E30" s="441"/>
      <c r="F30" s="441"/>
      <c r="G30" s="441"/>
      <c r="H30" s="30"/>
    </row>
    <row r="31" spans="2:8" x14ac:dyDescent="0.25">
      <c r="B31" s="69"/>
      <c r="C31" s="69"/>
      <c r="D31" s="69"/>
      <c r="E31" s="30"/>
      <c r="F31" s="431"/>
      <c r="G31" s="431"/>
      <c r="H31" s="30"/>
    </row>
    <row r="32" spans="2:8" x14ac:dyDescent="0.25">
      <c r="B32" s="69"/>
      <c r="C32" s="225"/>
      <c r="D32" s="227"/>
      <c r="E32" s="227"/>
      <c r="F32" s="225"/>
      <c r="G32" s="225"/>
      <c r="H32" s="30"/>
    </row>
    <row r="33" spans="2:8" x14ac:dyDescent="0.25">
      <c r="B33" s="69"/>
      <c r="C33" s="30"/>
      <c r="D33" s="69"/>
      <c r="E33" s="30"/>
      <c r="F33" s="30"/>
      <c r="G33" s="30"/>
      <c r="H33" s="30"/>
    </row>
    <row r="34" spans="2:8" x14ac:dyDescent="0.25">
      <c r="B34" s="30"/>
      <c r="C34" s="228"/>
      <c r="D34" s="228"/>
      <c r="E34" s="228"/>
      <c r="F34" s="228"/>
      <c r="G34" s="228"/>
      <c r="H34" s="30"/>
    </row>
    <row r="35" spans="2:8" x14ac:dyDescent="0.25">
      <c r="B35" s="30"/>
      <c r="C35" s="228"/>
      <c r="D35" s="228"/>
      <c r="E35" s="228"/>
      <c r="F35" s="228"/>
      <c r="G35" s="228"/>
      <c r="H35" s="30"/>
    </row>
    <row r="36" spans="2:8" x14ac:dyDescent="0.25">
      <c r="B36" s="30"/>
      <c r="C36" s="228"/>
      <c r="D36" s="228"/>
      <c r="E36" s="228"/>
      <c r="F36" s="228"/>
      <c r="G36" s="228"/>
      <c r="H36" s="30"/>
    </row>
    <row r="37" spans="2:8" x14ac:dyDescent="0.25">
      <c r="B37" s="30"/>
      <c r="C37" s="228"/>
      <c r="D37" s="229"/>
      <c r="E37" s="228"/>
      <c r="F37" s="229"/>
      <c r="G37" s="229"/>
      <c r="H37" s="30"/>
    </row>
    <row r="38" spans="2:8" x14ac:dyDescent="0.25">
      <c r="B38" s="30"/>
      <c r="C38" s="230"/>
      <c r="D38" s="229"/>
      <c r="E38" s="231"/>
      <c r="F38" s="229"/>
      <c r="G38" s="229"/>
      <c r="H38" s="30"/>
    </row>
    <row r="39" spans="2:8" x14ac:dyDescent="0.25">
      <c r="B39" s="30"/>
      <c r="C39" s="231"/>
      <c r="D39" s="229"/>
      <c r="E39" s="228"/>
      <c r="F39" s="229"/>
      <c r="G39" s="229"/>
      <c r="H39" s="30"/>
    </row>
    <row r="40" spans="2:8" x14ac:dyDescent="0.25">
      <c r="B40" s="30"/>
      <c r="C40" s="231"/>
      <c r="D40" s="229"/>
      <c r="E40" s="229"/>
      <c r="F40" s="229"/>
      <c r="G40" s="229"/>
      <c r="H40" s="30"/>
    </row>
    <row r="41" spans="2:8" x14ac:dyDescent="0.25">
      <c r="B41" s="30"/>
      <c r="C41" s="71"/>
      <c r="D41" s="72"/>
      <c r="E41" s="71"/>
      <c r="F41" s="71"/>
      <c r="G41" s="71"/>
      <c r="H41" s="30"/>
    </row>
    <row r="42" spans="2:8" x14ac:dyDescent="0.25">
      <c r="B42" s="232"/>
      <c r="C42" s="233"/>
      <c r="D42" s="233"/>
      <c r="E42" s="233"/>
      <c r="F42" s="233"/>
      <c r="G42" s="233"/>
      <c r="H42" s="30"/>
    </row>
    <row r="43" spans="2:8" x14ac:dyDescent="0.25">
      <c r="B43" s="30"/>
      <c r="C43" s="30"/>
      <c r="D43" s="30"/>
      <c r="E43" s="30"/>
      <c r="F43" s="30"/>
      <c r="G43" s="30"/>
      <c r="H43" s="30"/>
    </row>
    <row r="44" spans="2:8" x14ac:dyDescent="0.25">
      <c r="B44" s="30"/>
      <c r="C44" s="30"/>
      <c r="D44" s="30"/>
      <c r="E44" s="30"/>
      <c r="F44" s="30"/>
      <c r="G44" s="30"/>
      <c r="H44" s="30"/>
    </row>
    <row r="45" spans="2:8" x14ac:dyDescent="0.25">
      <c r="B45" s="30"/>
      <c r="C45" s="30"/>
      <c r="D45" s="30"/>
      <c r="E45" s="30"/>
      <c r="F45" s="30"/>
      <c r="G45" s="30"/>
      <c r="H45" s="30"/>
    </row>
    <row r="46" spans="2:8" x14ac:dyDescent="0.25">
      <c r="B46" s="30"/>
      <c r="C46" s="30"/>
      <c r="D46" s="30"/>
      <c r="E46" s="30"/>
      <c r="F46" s="30"/>
      <c r="G46" s="30"/>
      <c r="H46" s="30"/>
    </row>
    <row r="47" spans="2:8" x14ac:dyDescent="0.25">
      <c r="B47" s="30"/>
      <c r="C47" s="30"/>
      <c r="D47" s="30"/>
      <c r="E47" s="30"/>
      <c r="F47" s="30"/>
      <c r="G47" s="30"/>
      <c r="H47" s="30"/>
    </row>
  </sheetData>
  <mergeCells count="8">
    <mergeCell ref="B30:G30"/>
    <mergeCell ref="F31:G31"/>
    <mergeCell ref="F16:G16"/>
    <mergeCell ref="B1:G2"/>
    <mergeCell ref="B6:E6"/>
    <mergeCell ref="B4:E4"/>
    <mergeCell ref="B15:G15"/>
    <mergeCell ref="B13:E1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workbookViewId="0">
      <selection activeCell="B7" sqref="B7:E9"/>
    </sheetView>
  </sheetViews>
  <sheetFormatPr baseColWidth="10" defaultRowHeight="15" x14ac:dyDescent="0.25"/>
  <cols>
    <col min="1" max="1" width="10" customWidth="1"/>
    <col min="2" max="2" width="18.140625" customWidth="1"/>
    <col min="4" max="4" width="9.28515625" customWidth="1"/>
    <col min="5" max="5" width="13.28515625" customWidth="1"/>
  </cols>
  <sheetData>
    <row r="1" spans="2:7" x14ac:dyDescent="0.25">
      <c r="B1" s="449" t="s">
        <v>161</v>
      </c>
      <c r="C1" s="450"/>
      <c r="D1" s="450"/>
      <c r="E1" s="450"/>
      <c r="F1" s="450"/>
      <c r="G1" s="450"/>
    </row>
    <row r="2" spans="2:7" x14ac:dyDescent="0.25">
      <c r="B2" s="450"/>
      <c r="C2" s="450"/>
      <c r="D2" s="450"/>
      <c r="E2" s="450"/>
      <c r="F2" s="450"/>
      <c r="G2" s="450"/>
    </row>
    <row r="5" spans="2:7" x14ac:dyDescent="0.25">
      <c r="B5" s="445" t="s">
        <v>126</v>
      </c>
      <c r="C5" s="445"/>
      <c r="D5" s="445"/>
      <c r="E5" s="445"/>
    </row>
    <row r="6" spans="2:7" ht="15.75" thickBot="1" x14ac:dyDescent="0.3">
      <c r="B6" s="190"/>
      <c r="C6" s="190"/>
      <c r="D6" s="190"/>
      <c r="E6" s="190"/>
    </row>
    <row r="7" spans="2:7" ht="15.75" thickBot="1" x14ac:dyDescent="0.3">
      <c r="B7" s="402" t="s">
        <v>19</v>
      </c>
      <c r="C7" s="435"/>
      <c r="D7" s="435"/>
      <c r="E7" s="436"/>
    </row>
    <row r="8" spans="2:7" x14ac:dyDescent="0.25">
      <c r="B8" s="343"/>
      <c r="C8" s="122" t="s">
        <v>21</v>
      </c>
      <c r="D8" s="122" t="s">
        <v>20</v>
      </c>
      <c r="E8" s="123" t="s">
        <v>15</v>
      </c>
    </row>
    <row r="9" spans="2:7" ht="15.75" thickBot="1" x14ac:dyDescent="0.3">
      <c r="B9" s="84" t="s">
        <v>137</v>
      </c>
      <c r="C9" s="75">
        <f>'Datos de partida'!L21</f>
        <v>18000</v>
      </c>
      <c r="D9" s="74">
        <f>'Datos de partida'!T10</f>
        <v>0.4</v>
      </c>
      <c r="E9" s="75">
        <f>+C9*D9</f>
        <v>7200</v>
      </c>
    </row>
    <row r="11" spans="2:7" ht="15.75" thickBot="1" x14ac:dyDescent="0.3"/>
    <row r="12" spans="2:7" ht="15.75" thickBot="1" x14ac:dyDescent="0.3">
      <c r="B12" s="402" t="s">
        <v>22</v>
      </c>
      <c r="C12" s="435"/>
      <c r="D12" s="435"/>
      <c r="E12" s="436"/>
    </row>
    <row r="13" spans="2:7" x14ac:dyDescent="0.25">
      <c r="B13" s="343"/>
      <c r="C13" s="122" t="s">
        <v>21</v>
      </c>
      <c r="D13" s="122" t="s">
        <v>20</v>
      </c>
      <c r="E13" s="123" t="s">
        <v>15</v>
      </c>
    </row>
    <row r="14" spans="2:7" x14ac:dyDescent="0.25">
      <c r="B14" s="9" t="s">
        <v>5</v>
      </c>
      <c r="C14" s="10"/>
      <c r="D14" s="10"/>
      <c r="E14" s="45">
        <f>'Cálculos comunes'!E33</f>
        <v>154800</v>
      </c>
    </row>
    <row r="15" spans="2:7" x14ac:dyDescent="0.25">
      <c r="B15" s="2" t="s">
        <v>19</v>
      </c>
      <c r="C15" s="44">
        <f>C9</f>
        <v>18000</v>
      </c>
      <c r="D15" s="44">
        <f>D9</f>
        <v>0.4</v>
      </c>
      <c r="E15" s="45">
        <f>E9</f>
        <v>7200</v>
      </c>
    </row>
    <row r="16" spans="2:7" ht="15.75" thickBot="1" x14ac:dyDescent="0.3">
      <c r="B16" s="11" t="s">
        <v>22</v>
      </c>
      <c r="C16" s="53">
        <f>'Datos de partida'!L20</f>
        <v>7200</v>
      </c>
      <c r="D16" s="12">
        <f>+E16/C16</f>
        <v>20.5</v>
      </c>
      <c r="E16" s="76">
        <f>+E14-E15</f>
        <v>147600</v>
      </c>
    </row>
    <row r="19" spans="2:7" x14ac:dyDescent="0.25">
      <c r="B19" s="445" t="s">
        <v>135</v>
      </c>
      <c r="C19" s="445"/>
      <c r="D19" s="445"/>
      <c r="E19" s="445"/>
    </row>
    <row r="20" spans="2:7" ht="15.75" thickBot="1" x14ac:dyDescent="0.3"/>
    <row r="21" spans="2:7" ht="15.75" thickBot="1" x14ac:dyDescent="0.3">
      <c r="B21" s="446" t="s">
        <v>41</v>
      </c>
      <c r="C21" s="447"/>
      <c r="D21" s="447"/>
      <c r="E21" s="447"/>
      <c r="F21" s="447"/>
      <c r="G21" s="448"/>
    </row>
    <row r="22" spans="2:7" x14ac:dyDescent="0.25">
      <c r="B22" s="68"/>
      <c r="C22" s="69"/>
      <c r="D22" s="69"/>
      <c r="E22" s="30"/>
      <c r="F22" s="431"/>
      <c r="G22" s="442"/>
    </row>
    <row r="23" spans="2:7" x14ac:dyDescent="0.25">
      <c r="B23" s="68"/>
      <c r="C23" s="57" t="s">
        <v>38</v>
      </c>
      <c r="D23" s="58" t="s">
        <v>37</v>
      </c>
      <c r="E23" s="58" t="s">
        <v>40</v>
      </c>
      <c r="F23" s="186" t="s">
        <v>39</v>
      </c>
      <c r="G23" s="59" t="s">
        <v>70</v>
      </c>
    </row>
    <row r="24" spans="2:7" x14ac:dyDescent="0.25">
      <c r="B24" s="68"/>
      <c r="C24" s="30"/>
      <c r="D24" s="69"/>
      <c r="E24" s="30"/>
      <c r="F24" s="30"/>
      <c r="G24" s="70"/>
    </row>
    <row r="25" spans="2:7" x14ac:dyDescent="0.25">
      <c r="B25" s="61" t="s">
        <v>35</v>
      </c>
      <c r="C25" s="63">
        <f>'Datos de partida'!K35*'Apartado 2.B'!D16</f>
        <v>10.291</v>
      </c>
      <c r="D25" s="60">
        <f>'Datos de partida'!K36*'Apartado 2.B'!D16</f>
        <v>41</v>
      </c>
      <c r="E25" s="63">
        <f>'Datos de partida'!K35*'Apartado 2.B'!D16</f>
        <v>10.291</v>
      </c>
      <c r="F25" s="60">
        <f>'Datos de partida'!K36*'Apartado 2.B'!D16</f>
        <v>41</v>
      </c>
      <c r="G25" s="62">
        <f>'Datos de partida'!K36*'Apartado 2.B'!D16</f>
        <v>41</v>
      </c>
    </row>
    <row r="26" spans="2:7" x14ac:dyDescent="0.25">
      <c r="B26" s="61" t="s">
        <v>129</v>
      </c>
      <c r="C26" s="60">
        <f>'Cálculos comunes'!G42</f>
        <v>3.78</v>
      </c>
      <c r="D26" s="60">
        <f>'Cálculos comunes'!G41</f>
        <v>4.2</v>
      </c>
      <c r="E26" s="60">
        <f>'Cálculos comunes'!G42</f>
        <v>3.78</v>
      </c>
      <c r="F26" s="60">
        <f>'Cálculos comunes'!G41</f>
        <v>4.2</v>
      </c>
      <c r="G26" s="62">
        <f>'Cálculos comunes'!G41</f>
        <v>4.2</v>
      </c>
    </row>
    <row r="27" spans="2:7" x14ac:dyDescent="0.25">
      <c r="B27" s="61" t="s">
        <v>130</v>
      </c>
      <c r="C27" s="60">
        <f>'Cálculos comunes'!G54</f>
        <v>2.1</v>
      </c>
      <c r="D27" s="60">
        <f>'Cálculos comunes'!G53</f>
        <v>4.2</v>
      </c>
      <c r="E27" s="60">
        <f>'Cálculos comunes'!G56</f>
        <v>7.5599999999999987</v>
      </c>
      <c r="F27" s="60">
        <f>'Cálculos comunes'!G55</f>
        <v>12.6</v>
      </c>
      <c r="G27" s="62">
        <f>'Cálculos comunes'!G58</f>
        <v>8.8199999999999985</v>
      </c>
    </row>
    <row r="28" spans="2:7" x14ac:dyDescent="0.25">
      <c r="B28" s="61" t="s">
        <v>133</v>
      </c>
      <c r="C28" s="60">
        <f>'Datos de partida'!B17</f>
        <v>0.01</v>
      </c>
      <c r="D28" s="63"/>
      <c r="E28" s="60">
        <f>'Datos de partida'!B17</f>
        <v>0.01</v>
      </c>
      <c r="F28" s="187"/>
      <c r="G28" s="64"/>
    </row>
    <row r="29" spans="2:7" x14ac:dyDescent="0.25">
      <c r="B29" s="61" t="s">
        <v>132</v>
      </c>
      <c r="C29" s="63">
        <f>'Cálculos comunes'!G17</f>
        <v>0.04</v>
      </c>
      <c r="D29" s="63"/>
      <c r="E29" s="63">
        <f>'Cálculos comunes'!G18</f>
        <v>0.04</v>
      </c>
      <c r="F29" s="187"/>
      <c r="G29" s="64"/>
    </row>
    <row r="30" spans="2:7" x14ac:dyDescent="0.25">
      <c r="B30" s="61" t="s">
        <v>36</v>
      </c>
      <c r="C30" s="65"/>
      <c r="D30" s="63">
        <f>'Datos de partida'!B18</f>
        <v>1.4999999999999999E-2</v>
      </c>
      <c r="E30" s="60"/>
      <c r="F30" s="187">
        <f>'Datos de partida'!B18</f>
        <v>1.4999999999999999E-2</v>
      </c>
      <c r="G30" s="64"/>
    </row>
    <row r="31" spans="2:7" x14ac:dyDescent="0.25">
      <c r="B31" s="61" t="s">
        <v>134</v>
      </c>
      <c r="C31" s="65"/>
      <c r="D31" s="63">
        <f>'Cálculos comunes'!G14</f>
        <v>0.06</v>
      </c>
      <c r="E31" s="63"/>
      <c r="F31" s="187">
        <f>'Cálculos comunes'!G15</f>
        <v>0.06</v>
      </c>
      <c r="G31" s="64"/>
    </row>
    <row r="32" spans="2:7" ht="15.75" thickBot="1" x14ac:dyDescent="0.3">
      <c r="B32" s="6"/>
      <c r="C32" s="71"/>
      <c r="D32" s="72"/>
      <c r="E32" s="71"/>
      <c r="F32" s="71"/>
      <c r="G32" s="73"/>
    </row>
    <row r="33" spans="2:7" ht="15.75" thickBot="1" x14ac:dyDescent="0.3">
      <c r="B33" s="66" t="s">
        <v>136</v>
      </c>
      <c r="C33" s="188">
        <f>SUM(C25:C31)</f>
        <v>16.221</v>
      </c>
      <c r="D33" s="188">
        <f>SUM(D25:D31)</f>
        <v>49.475000000000009</v>
      </c>
      <c r="E33" s="188">
        <f>SUM(E25:E31)</f>
        <v>21.681000000000001</v>
      </c>
      <c r="F33" s="188">
        <f>SUM(F25:F31)</f>
        <v>57.875000000000007</v>
      </c>
      <c r="G33" s="189">
        <f t="shared" ref="G33" si="0">SUM(G25:G31)</f>
        <v>54.02</v>
      </c>
    </row>
  </sheetData>
  <mergeCells count="7">
    <mergeCell ref="F22:G22"/>
    <mergeCell ref="B1:G2"/>
    <mergeCell ref="B7:E7"/>
    <mergeCell ref="B5:E5"/>
    <mergeCell ref="B12:E12"/>
    <mergeCell ref="B19:E19"/>
    <mergeCell ref="B21:G2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opLeftCell="A46" workbookViewId="0">
      <selection activeCell="K69" sqref="K69"/>
    </sheetView>
  </sheetViews>
  <sheetFormatPr baseColWidth="10" defaultRowHeight="15" x14ac:dyDescent="0.25"/>
  <cols>
    <col min="1" max="1" width="31.85546875" customWidth="1"/>
    <col min="3" max="3" width="10.85546875" customWidth="1"/>
    <col min="4" max="4" width="11.7109375" customWidth="1"/>
  </cols>
  <sheetData>
    <row r="1" spans="1:6" s="197" customFormat="1" x14ac:dyDescent="0.25">
      <c r="A1" s="449" t="s">
        <v>162</v>
      </c>
      <c r="B1" s="450"/>
      <c r="C1" s="450"/>
      <c r="D1" s="450"/>
      <c r="E1" s="450"/>
      <c r="F1" s="450"/>
    </row>
    <row r="2" spans="1:6" s="197" customFormat="1" x14ac:dyDescent="0.25">
      <c r="A2" s="450"/>
      <c r="B2" s="450"/>
      <c r="C2" s="450"/>
      <c r="D2" s="450"/>
      <c r="E2" s="450"/>
      <c r="F2" s="450"/>
    </row>
    <row r="3" spans="1:6" s="197" customFormat="1" ht="15.75" x14ac:dyDescent="0.25">
      <c r="A3" s="196"/>
      <c r="B3" s="196"/>
      <c r="C3" s="196"/>
      <c r="D3" s="196"/>
      <c r="E3" s="196"/>
      <c r="F3" s="196"/>
    </row>
    <row r="4" spans="1:6" s="197" customFormat="1" ht="15.75" x14ac:dyDescent="0.25">
      <c r="A4" s="196"/>
      <c r="B4" s="196"/>
      <c r="C4" s="196"/>
      <c r="D4" s="196"/>
      <c r="E4" s="196"/>
      <c r="F4" s="196"/>
    </row>
    <row r="5" spans="1:6" x14ac:dyDescent="0.25">
      <c r="A5" s="451" t="s">
        <v>164</v>
      </c>
      <c r="B5" s="451"/>
      <c r="C5" s="451"/>
      <c r="D5" s="451"/>
      <c r="E5" s="451"/>
      <c r="F5" s="451"/>
    </row>
    <row r="6" spans="1:6" s="195" customFormat="1" x14ac:dyDescent="0.25">
      <c r="A6" s="451"/>
      <c r="B6" s="451"/>
      <c r="C6" s="451"/>
      <c r="D6" s="451"/>
      <c r="E6" s="451"/>
      <c r="F6" s="451"/>
    </row>
    <row r="7" spans="1:6" s="197" customFormat="1" ht="15.75" x14ac:dyDescent="0.25">
      <c r="A7" s="196"/>
      <c r="B7" s="196"/>
      <c r="C7" s="196"/>
      <c r="D7" s="196"/>
      <c r="E7" s="196"/>
      <c r="F7" s="196"/>
    </row>
    <row r="8" spans="1:6" s="197" customFormat="1" ht="15.75" x14ac:dyDescent="0.25">
      <c r="A8" s="196"/>
      <c r="B8" s="196"/>
      <c r="C8" s="196"/>
      <c r="D8" s="196"/>
      <c r="E8" s="196"/>
      <c r="F8" s="196"/>
    </row>
    <row r="9" spans="1:6" x14ac:dyDescent="0.25">
      <c r="A9" s="445" t="s">
        <v>143</v>
      </c>
      <c r="B9" s="445"/>
      <c r="C9" s="445"/>
      <c r="D9" s="445"/>
    </row>
    <row r="10" spans="1:6" s="191" customFormat="1" ht="15.75" thickBot="1" x14ac:dyDescent="0.3">
      <c r="A10" s="190"/>
      <c r="B10" s="190"/>
      <c r="C10" s="190"/>
      <c r="D10" s="190"/>
    </row>
    <row r="11" spans="1:6" s="191" customFormat="1" ht="15.75" thickBot="1" x14ac:dyDescent="0.3">
      <c r="A11" s="402" t="s">
        <v>139</v>
      </c>
      <c r="B11" s="435"/>
      <c r="C11" s="435"/>
      <c r="D11" s="436"/>
    </row>
    <row r="12" spans="1:6" s="191" customFormat="1" ht="15.75" thickBot="1" x14ac:dyDescent="0.3">
      <c r="A12" s="124"/>
      <c r="B12" s="124" t="s">
        <v>21</v>
      </c>
      <c r="C12" s="124" t="s">
        <v>20</v>
      </c>
      <c r="D12" s="125" t="s">
        <v>15</v>
      </c>
    </row>
    <row r="13" spans="1:6" s="191" customFormat="1" ht="15.75" thickBot="1" x14ac:dyDescent="0.3">
      <c r="A13" s="349" t="s">
        <v>140</v>
      </c>
      <c r="B13" s="350">
        <f>'Datos de partida'!L29</f>
        <v>72000</v>
      </c>
      <c r="C13" s="351">
        <f>'Datos de partida'!T11</f>
        <v>1.2</v>
      </c>
      <c r="D13" s="352">
        <f>+B13*C13</f>
        <v>86400</v>
      </c>
    </row>
    <row r="14" spans="1:6" s="191" customFormat="1" ht="15.75" thickBot="1" x14ac:dyDescent="0.3">
      <c r="A14" s="353" t="s">
        <v>141</v>
      </c>
      <c r="B14" s="354"/>
      <c r="C14" s="354"/>
      <c r="D14" s="355">
        <f>'Datos de partida'!H14</f>
        <v>1440</v>
      </c>
    </row>
    <row r="15" spans="1:6" s="191" customFormat="1" ht="15.75" thickBot="1" x14ac:dyDescent="0.3">
      <c r="A15" s="79" t="s">
        <v>142</v>
      </c>
      <c r="B15" s="80">
        <f>B13</f>
        <v>72000</v>
      </c>
      <c r="C15" s="81">
        <f>D15/B15</f>
        <v>1.18</v>
      </c>
      <c r="D15" s="82">
        <f>D13-D14</f>
        <v>84960</v>
      </c>
    </row>
    <row r="16" spans="1:6" s="191" customFormat="1" x14ac:dyDescent="0.25">
      <c r="A16" s="190"/>
      <c r="B16" s="190"/>
      <c r="C16" s="190"/>
      <c r="D16" s="190"/>
    </row>
    <row r="17" spans="1:4" s="191" customFormat="1" ht="15.75" thickBot="1" x14ac:dyDescent="0.3">
      <c r="A17" s="190"/>
      <c r="B17" s="190"/>
      <c r="C17" s="190"/>
      <c r="D17" s="190"/>
    </row>
    <row r="18" spans="1:4" ht="15.75" thickBot="1" x14ac:dyDescent="0.3">
      <c r="A18" s="402" t="s">
        <v>19</v>
      </c>
      <c r="B18" s="435"/>
      <c r="C18" s="435"/>
      <c r="D18" s="436"/>
    </row>
    <row r="19" spans="1:4" x14ac:dyDescent="0.25">
      <c r="A19" s="124"/>
      <c r="B19" s="124" t="s">
        <v>21</v>
      </c>
      <c r="C19" s="124" t="s">
        <v>20</v>
      </c>
      <c r="D19" s="125" t="s">
        <v>15</v>
      </c>
    </row>
    <row r="20" spans="1:4" x14ac:dyDescent="0.25">
      <c r="A20" s="238" t="s">
        <v>163</v>
      </c>
      <c r="B20" s="192">
        <f>'Datos de partida'!L29</f>
        <v>72000</v>
      </c>
      <c r="C20" s="193">
        <f>C15</f>
        <v>1.18</v>
      </c>
      <c r="D20" s="239">
        <f>B20*C20</f>
        <v>84960</v>
      </c>
    </row>
    <row r="21" spans="1:4" x14ac:dyDescent="0.25">
      <c r="A21" s="194" t="s">
        <v>144</v>
      </c>
      <c r="B21" s="29"/>
      <c r="C21" s="43"/>
      <c r="D21" s="239">
        <f>SUM(D22:D23)</f>
        <v>2088</v>
      </c>
    </row>
    <row r="22" spans="1:4" x14ac:dyDescent="0.25">
      <c r="A22" s="2" t="s">
        <v>17</v>
      </c>
      <c r="B22" s="44">
        <f>'Datos de partida'!L29</f>
        <v>72000</v>
      </c>
      <c r="C22" s="54">
        <f>'Datos de partida'!B19</f>
        <v>0.02</v>
      </c>
      <c r="D22" s="45">
        <f>B22*C22</f>
        <v>1440</v>
      </c>
    </row>
    <row r="23" spans="1:4" ht="15.75" thickBot="1" x14ac:dyDescent="0.3">
      <c r="A23" s="2" t="s">
        <v>145</v>
      </c>
      <c r="B23" s="44"/>
      <c r="C23" s="44"/>
      <c r="D23" s="45">
        <f>'Datos de partida'!H12</f>
        <v>648</v>
      </c>
    </row>
    <row r="24" spans="1:4" ht="15.75" thickBot="1" x14ac:dyDescent="0.3">
      <c r="A24" s="50" t="s">
        <v>172</v>
      </c>
      <c r="B24" s="83">
        <f>'Datos de partida'!I29</f>
        <v>18000</v>
      </c>
      <c r="C24" s="77">
        <f>+D24/B24</f>
        <v>4.6040000000000001</v>
      </c>
      <c r="D24" s="78">
        <f>D20-D21</f>
        <v>82872</v>
      </c>
    </row>
    <row r="25" spans="1:4" ht="15.75" thickBot="1" x14ac:dyDescent="0.3">
      <c r="D25" s="5"/>
    </row>
    <row r="26" spans="1:4" ht="15.75" thickBot="1" x14ac:dyDescent="0.3">
      <c r="A26" s="402" t="s">
        <v>22</v>
      </c>
      <c r="B26" s="435"/>
      <c r="C26" s="435"/>
      <c r="D26" s="436"/>
    </row>
    <row r="27" spans="1:4" x14ac:dyDescent="0.25">
      <c r="A27" s="124"/>
      <c r="B27" s="122" t="s">
        <v>21</v>
      </c>
      <c r="C27" s="122" t="s">
        <v>20</v>
      </c>
      <c r="D27" s="123" t="s">
        <v>15</v>
      </c>
    </row>
    <row r="28" spans="1:4" x14ac:dyDescent="0.25">
      <c r="A28" s="9" t="s">
        <v>5</v>
      </c>
      <c r="B28" s="10"/>
      <c r="C28" s="10"/>
      <c r="D28" s="45">
        <f>'Cálculos comunes'!E33</f>
        <v>154800</v>
      </c>
    </row>
    <row r="29" spans="1:4" ht="15.75" thickBot="1" x14ac:dyDescent="0.3">
      <c r="A29" s="4" t="s">
        <v>19</v>
      </c>
      <c r="B29" s="51">
        <f>B24</f>
        <v>18000</v>
      </c>
      <c r="C29" s="51">
        <f>C24</f>
        <v>4.6040000000000001</v>
      </c>
      <c r="D29" s="45">
        <f>+B29*C29</f>
        <v>82872</v>
      </c>
    </row>
    <row r="30" spans="1:4" ht="15.75" thickBot="1" x14ac:dyDescent="0.3">
      <c r="A30" s="79" t="s">
        <v>22</v>
      </c>
      <c r="B30" s="80">
        <f>'Datos de partida'!L20</f>
        <v>7200</v>
      </c>
      <c r="C30" s="81">
        <f>+D30/B30</f>
        <v>9.99</v>
      </c>
      <c r="D30" s="82">
        <f>+D28-D29</f>
        <v>71928</v>
      </c>
    </row>
    <row r="34" spans="1:6" x14ac:dyDescent="0.25">
      <c r="A34" s="445" t="s">
        <v>148</v>
      </c>
      <c r="B34" s="445"/>
      <c r="C34" s="445"/>
      <c r="D34" s="445"/>
    </row>
    <row r="35" spans="1:6" ht="15.75" thickBot="1" x14ac:dyDescent="0.3"/>
    <row r="36" spans="1:6" ht="15.75" thickBot="1" x14ac:dyDescent="0.3">
      <c r="A36" s="446" t="s">
        <v>41</v>
      </c>
      <c r="B36" s="447"/>
      <c r="C36" s="447"/>
      <c r="D36" s="447"/>
      <c r="E36" s="447"/>
      <c r="F36" s="448"/>
    </row>
    <row r="37" spans="1:6" x14ac:dyDescent="0.25">
      <c r="A37" s="68"/>
      <c r="B37" s="69"/>
      <c r="C37" s="69"/>
      <c r="D37" s="30"/>
      <c r="E37" s="431"/>
      <c r="F37" s="442"/>
    </row>
    <row r="38" spans="1:6" x14ac:dyDescent="0.25">
      <c r="A38" s="68"/>
      <c r="B38" s="57" t="s">
        <v>38</v>
      </c>
      <c r="C38" s="58" t="s">
        <v>37</v>
      </c>
      <c r="D38" s="58" t="s">
        <v>40</v>
      </c>
      <c r="E38" s="186" t="s">
        <v>39</v>
      </c>
      <c r="F38" s="59" t="s">
        <v>70</v>
      </c>
    </row>
    <row r="39" spans="1:6" x14ac:dyDescent="0.25">
      <c r="A39" s="68"/>
      <c r="B39" s="30"/>
      <c r="C39" s="69"/>
      <c r="D39" s="30"/>
      <c r="E39" s="30"/>
      <c r="F39" s="70"/>
    </row>
    <row r="40" spans="1:6" x14ac:dyDescent="0.25">
      <c r="A40" s="61" t="s">
        <v>35</v>
      </c>
      <c r="B40" s="60">
        <f>'Datos de partida'!K35*'Apartado 2.C'!C30</f>
        <v>5.0149800000000004</v>
      </c>
      <c r="C40" s="60">
        <f>C30*'Datos de partida'!K36</f>
        <v>19.98</v>
      </c>
      <c r="D40" s="60">
        <f>C30*'Datos de partida'!K35</f>
        <v>5.0149800000000004</v>
      </c>
      <c r="E40" s="60">
        <f>'Datos de partida'!K36*'Apartado 2.C'!C30</f>
        <v>19.98</v>
      </c>
      <c r="F40" s="62">
        <f>C30*'Datos de partida'!K36</f>
        <v>19.98</v>
      </c>
    </row>
    <row r="41" spans="1:6" x14ac:dyDescent="0.25">
      <c r="A41" s="61" t="s">
        <v>129</v>
      </c>
      <c r="B41" s="60">
        <f>'Cálculos comunes'!G42</f>
        <v>3.78</v>
      </c>
      <c r="C41" s="60">
        <f>'Cálculos comunes'!G41</f>
        <v>4.2</v>
      </c>
      <c r="D41" s="60">
        <f>'Cálculos comunes'!G42</f>
        <v>3.78</v>
      </c>
      <c r="E41" s="60">
        <f>'Cálculos comunes'!G41</f>
        <v>4.2</v>
      </c>
      <c r="F41" s="62">
        <f>'Cálculos comunes'!G41</f>
        <v>4.2</v>
      </c>
    </row>
    <row r="42" spans="1:6" x14ac:dyDescent="0.25">
      <c r="A42" s="61" t="s">
        <v>130</v>
      </c>
      <c r="B42" s="60">
        <f>'Cálculos comunes'!G54</f>
        <v>2.1</v>
      </c>
      <c r="C42" s="60">
        <f>'Cálculos comunes'!G53</f>
        <v>4.2</v>
      </c>
      <c r="D42" s="60">
        <f>'Cálculos comunes'!G56</f>
        <v>7.5599999999999987</v>
      </c>
      <c r="E42" s="60">
        <f>'Cálculos comunes'!G55</f>
        <v>12.6</v>
      </c>
      <c r="F42" s="62">
        <f>'Cálculos comunes'!G58</f>
        <v>8.8199999999999985</v>
      </c>
    </row>
    <row r="43" spans="1:6" x14ac:dyDescent="0.25">
      <c r="A43" s="61" t="s">
        <v>133</v>
      </c>
      <c r="B43" s="60">
        <f>'Datos de partida'!B17</f>
        <v>0.01</v>
      </c>
      <c r="C43" s="63"/>
      <c r="D43" s="60">
        <f>'Datos de partida'!B17</f>
        <v>0.01</v>
      </c>
      <c r="E43" s="187"/>
      <c r="F43" s="64"/>
    </row>
    <row r="44" spans="1:6" x14ac:dyDescent="0.25">
      <c r="A44" s="61" t="s">
        <v>132</v>
      </c>
      <c r="B44" s="65">
        <f>'Cálculos comunes'!G17</f>
        <v>0.04</v>
      </c>
      <c r="C44" s="63"/>
      <c r="D44" s="65">
        <f>'Cálculos comunes'!G18</f>
        <v>0.04</v>
      </c>
      <c r="E44" s="187"/>
      <c r="F44" s="64"/>
    </row>
    <row r="45" spans="1:6" x14ac:dyDescent="0.25">
      <c r="A45" s="61" t="s">
        <v>36</v>
      </c>
      <c r="B45" s="65"/>
      <c r="C45" s="63">
        <f>'Datos de partida'!B18</f>
        <v>1.4999999999999999E-2</v>
      </c>
      <c r="D45" s="60"/>
      <c r="E45" s="187">
        <f>'Datos de partida'!B18</f>
        <v>1.4999999999999999E-2</v>
      </c>
      <c r="F45" s="64"/>
    </row>
    <row r="46" spans="1:6" x14ac:dyDescent="0.25">
      <c r="A46" s="61" t="s">
        <v>134</v>
      </c>
      <c r="B46" s="65"/>
      <c r="C46" s="63">
        <f>'Cálculos comunes'!G14</f>
        <v>0.06</v>
      </c>
      <c r="D46" s="63"/>
      <c r="E46" s="187">
        <f>'Cálculos comunes'!G15</f>
        <v>0.06</v>
      </c>
      <c r="F46" s="64"/>
    </row>
    <row r="47" spans="1:6" ht="15.75" thickBot="1" x14ac:dyDescent="0.3">
      <c r="A47" s="6"/>
      <c r="B47" s="71"/>
      <c r="C47" s="72"/>
      <c r="D47" s="71"/>
      <c r="E47" s="71"/>
      <c r="F47" s="73"/>
    </row>
    <row r="48" spans="1:6" ht="15.75" thickBot="1" x14ac:dyDescent="0.3">
      <c r="A48" s="66" t="s">
        <v>136</v>
      </c>
      <c r="B48" s="188">
        <f>SUM(B40:B46)</f>
        <v>10.944979999999999</v>
      </c>
      <c r="C48" s="188">
        <f>SUM(C40:C46)</f>
        <v>28.454999999999998</v>
      </c>
      <c r="D48" s="188">
        <f>SUM(D40:D46)</f>
        <v>16.404979999999998</v>
      </c>
      <c r="E48" s="188">
        <f>SUM(E40:E46)</f>
        <v>36.855000000000004</v>
      </c>
      <c r="F48" s="189">
        <f t="shared" ref="F48" si="0">SUM(F40:F46)</f>
        <v>33</v>
      </c>
    </row>
    <row r="50" spans="1:6" ht="15" customHeight="1" x14ac:dyDescent="0.25"/>
    <row r="51" spans="1:6" s="195" customFormat="1" ht="15" customHeight="1" x14ac:dyDescent="0.25"/>
    <row r="52" spans="1:6" s="360" customFormat="1" ht="15" customHeight="1" x14ac:dyDescent="0.25">
      <c r="A52" s="359"/>
      <c r="B52" s="359"/>
      <c r="C52" s="359"/>
      <c r="D52" s="359"/>
      <c r="E52" s="359"/>
      <c r="F52" s="359"/>
    </row>
    <row r="53" spans="1:6" s="360" customFormat="1" ht="15" customHeight="1" x14ac:dyDescent="0.25">
      <c r="A53" s="452" t="s">
        <v>146</v>
      </c>
      <c r="B53" s="453"/>
      <c r="C53" s="453"/>
      <c r="D53" s="453"/>
      <c r="E53" s="453"/>
      <c r="F53" s="453"/>
    </row>
    <row r="54" spans="1:6" s="360" customFormat="1" ht="15" customHeight="1" x14ac:dyDescent="0.25">
      <c r="A54" s="453"/>
      <c r="B54" s="453"/>
      <c r="C54" s="453"/>
      <c r="D54" s="453"/>
      <c r="E54" s="453"/>
      <c r="F54" s="453"/>
    </row>
    <row r="56" spans="1:6" x14ac:dyDescent="0.25">
      <c r="A56" s="445" t="s">
        <v>143</v>
      </c>
      <c r="B56" s="445"/>
      <c r="C56" s="445"/>
      <c r="D56" s="445"/>
    </row>
    <row r="57" spans="1:6" s="191" customFormat="1" ht="15.75" thickBot="1" x14ac:dyDescent="0.3">
      <c r="A57" s="190"/>
      <c r="B57" s="190"/>
      <c r="C57" s="190"/>
      <c r="D57" s="190"/>
    </row>
    <row r="58" spans="1:6" ht="15.75" thickBot="1" x14ac:dyDescent="0.3">
      <c r="A58" s="402" t="s">
        <v>139</v>
      </c>
      <c r="B58" s="403"/>
      <c r="C58" s="403"/>
      <c r="D58" s="427"/>
    </row>
    <row r="59" spans="1:6" x14ac:dyDescent="0.25">
      <c r="A59" s="169"/>
      <c r="B59" s="169" t="s">
        <v>21</v>
      </c>
      <c r="C59" s="169" t="s">
        <v>20</v>
      </c>
      <c r="D59" s="240" t="s">
        <v>15</v>
      </c>
    </row>
    <row r="60" spans="1:6" x14ac:dyDescent="0.25">
      <c r="A60" s="238" t="s">
        <v>144</v>
      </c>
      <c r="B60" s="198"/>
      <c r="C60" s="43"/>
      <c r="D60" s="241">
        <f>SUM(D61:D62)</f>
        <v>2088</v>
      </c>
    </row>
    <row r="61" spans="1:6" x14ac:dyDescent="0.25">
      <c r="A61" s="2" t="s">
        <v>17</v>
      </c>
      <c r="B61" s="44">
        <f>'Datos de partida'!L29</f>
        <v>72000</v>
      </c>
      <c r="C61" s="54">
        <f>'Datos de partida'!B19</f>
        <v>0.02</v>
      </c>
      <c r="D61" s="45">
        <f>B61*C61</f>
        <v>1440</v>
      </c>
    </row>
    <row r="62" spans="1:6" ht="15.75" thickBot="1" x14ac:dyDescent="0.3">
      <c r="A62" s="4" t="s">
        <v>145</v>
      </c>
      <c r="B62" s="51"/>
      <c r="C62" s="51"/>
      <c r="D62" s="52">
        <f>'Datos de partida'!H12</f>
        <v>648</v>
      </c>
    </row>
    <row r="63" spans="1:6" ht="15.75" thickBot="1" x14ac:dyDescent="0.3">
      <c r="A63" s="50" t="s">
        <v>147</v>
      </c>
      <c r="B63" s="347">
        <f>'Datos de partida'!L29</f>
        <v>72000</v>
      </c>
      <c r="C63" s="348">
        <f>+D63/B63</f>
        <v>2.9000000000000001E-2</v>
      </c>
      <c r="D63" s="78">
        <f>D60</f>
        <v>2088</v>
      </c>
    </row>
    <row r="64" spans="1:6" s="191" customFormat="1" x14ac:dyDescent="0.25">
      <c r="A64" s="344"/>
      <c r="B64" s="345"/>
      <c r="C64" s="346"/>
      <c r="D64" s="346"/>
    </row>
    <row r="65" spans="1:6" ht="15.75" thickBot="1" x14ac:dyDescent="0.3">
      <c r="D65" s="5"/>
    </row>
    <row r="66" spans="1:6" ht="15.75" thickBot="1" x14ac:dyDescent="0.3">
      <c r="A66" s="402" t="s">
        <v>22</v>
      </c>
      <c r="B66" s="435"/>
      <c r="C66" s="435"/>
      <c r="D66" s="436"/>
    </row>
    <row r="67" spans="1:6" x14ac:dyDescent="0.25">
      <c r="A67" s="8"/>
      <c r="B67" s="122" t="s">
        <v>21</v>
      </c>
      <c r="C67" s="122" t="s">
        <v>20</v>
      </c>
      <c r="D67" s="123" t="s">
        <v>15</v>
      </c>
    </row>
    <row r="68" spans="1:6" x14ac:dyDescent="0.25">
      <c r="A68" s="9" t="s">
        <v>5</v>
      </c>
      <c r="B68" s="10"/>
      <c r="C68" s="10"/>
      <c r="D68" s="44">
        <f>'Cálculos comunes'!E33</f>
        <v>154800</v>
      </c>
    </row>
    <row r="69" spans="1:6" x14ac:dyDescent="0.25">
      <c r="A69" s="199" t="s">
        <v>165</v>
      </c>
      <c r="B69" s="200">
        <f>'Datos de partida'!L29</f>
        <v>72000</v>
      </c>
      <c r="C69" s="44">
        <f>'Datos de partida'!T11</f>
        <v>1.2</v>
      </c>
      <c r="D69" s="44">
        <f>('Datos de partida'!L29*'Datos de partida'!T11)-'Datos de partida'!H14</f>
        <v>84960</v>
      </c>
    </row>
    <row r="70" spans="1:6" ht="15.75" thickBot="1" x14ac:dyDescent="0.3">
      <c r="A70" s="4" t="s">
        <v>144</v>
      </c>
      <c r="B70" s="51"/>
      <c r="C70" s="51"/>
      <c r="D70" s="44">
        <f>D60</f>
        <v>2088</v>
      </c>
    </row>
    <row r="71" spans="1:6" ht="15.75" thickBot="1" x14ac:dyDescent="0.3">
      <c r="A71" s="79" t="s">
        <v>22</v>
      </c>
      <c r="B71" s="80">
        <f>'Datos de partida'!L20</f>
        <v>7200</v>
      </c>
      <c r="C71" s="81">
        <f>D71/B71</f>
        <v>9.99</v>
      </c>
      <c r="D71" s="82">
        <f>+D68-(D69-D70)</f>
        <v>71928</v>
      </c>
    </row>
    <row r="74" spans="1:6" x14ac:dyDescent="0.25">
      <c r="A74" s="445" t="s">
        <v>148</v>
      </c>
      <c r="B74" s="445"/>
      <c r="C74" s="445"/>
      <c r="D74" s="445"/>
    </row>
    <row r="75" spans="1:6" ht="15.75" thickBot="1" x14ac:dyDescent="0.3"/>
    <row r="76" spans="1:6" ht="15.75" thickBot="1" x14ac:dyDescent="0.3">
      <c r="A76" s="446" t="s">
        <v>41</v>
      </c>
      <c r="B76" s="447"/>
      <c r="C76" s="447"/>
      <c r="D76" s="447"/>
      <c r="E76" s="447"/>
      <c r="F76" s="448"/>
    </row>
    <row r="77" spans="1:6" ht="15.75" thickBot="1" x14ac:dyDescent="0.3">
      <c r="A77" s="68"/>
      <c r="B77" s="69"/>
      <c r="C77" s="69"/>
      <c r="D77" s="30"/>
      <c r="E77" s="431"/>
      <c r="F77" s="442"/>
    </row>
    <row r="78" spans="1:6" ht="15.75" thickBot="1" x14ac:dyDescent="0.3">
      <c r="A78" s="68"/>
      <c r="B78" s="234" t="s">
        <v>38</v>
      </c>
      <c r="C78" s="235" t="s">
        <v>37</v>
      </c>
      <c r="D78" s="235" t="s">
        <v>40</v>
      </c>
      <c r="E78" s="236" t="s">
        <v>39</v>
      </c>
      <c r="F78" s="237" t="s">
        <v>70</v>
      </c>
    </row>
    <row r="79" spans="1:6" x14ac:dyDescent="0.25">
      <c r="A79" s="68"/>
      <c r="B79" s="30"/>
      <c r="C79" s="69"/>
      <c r="D79" s="30"/>
      <c r="E79" s="30"/>
      <c r="F79" s="70"/>
    </row>
    <row r="80" spans="1:6" x14ac:dyDescent="0.25">
      <c r="A80" s="61" t="s">
        <v>35</v>
      </c>
      <c r="B80" s="60">
        <f>'Datos de partida'!K35*'Apartado 2.C'!C71</f>
        <v>5.0149800000000004</v>
      </c>
      <c r="C80" s="60">
        <f>C71*'Datos de partida'!K36</f>
        <v>19.98</v>
      </c>
      <c r="D80" s="60">
        <f>C71*'Datos de partida'!K35</f>
        <v>5.0149800000000004</v>
      </c>
      <c r="E80" s="60">
        <f>C71*'Datos de partida'!K36</f>
        <v>19.98</v>
      </c>
      <c r="F80" s="62">
        <f>C71*'Datos de partida'!K36</f>
        <v>19.98</v>
      </c>
    </row>
    <row r="81" spans="1:6" x14ac:dyDescent="0.25">
      <c r="A81" s="61" t="s">
        <v>129</v>
      </c>
      <c r="B81" s="60">
        <f>'Cálculos comunes'!G42</f>
        <v>3.78</v>
      </c>
      <c r="C81" s="60">
        <f>'Cálculos comunes'!G41</f>
        <v>4.2</v>
      </c>
      <c r="D81" s="60">
        <f>'Cálculos comunes'!G42</f>
        <v>3.78</v>
      </c>
      <c r="E81" s="60">
        <f>'Cálculos comunes'!G41</f>
        <v>4.2</v>
      </c>
      <c r="F81" s="62">
        <f>'Cálculos comunes'!G41</f>
        <v>4.2</v>
      </c>
    </row>
    <row r="82" spans="1:6" x14ac:dyDescent="0.25">
      <c r="A82" s="61" t="s">
        <v>130</v>
      </c>
      <c r="B82" s="60">
        <f>'Cálculos comunes'!G54</f>
        <v>2.1</v>
      </c>
      <c r="C82" s="60">
        <f>'Cálculos comunes'!G53</f>
        <v>4.2</v>
      </c>
      <c r="D82" s="60">
        <f>'Cálculos comunes'!G56</f>
        <v>7.5599999999999987</v>
      </c>
      <c r="E82" s="60">
        <f>'Cálculos comunes'!G55</f>
        <v>12.6</v>
      </c>
      <c r="F82" s="62">
        <f>'Cálculos comunes'!G58</f>
        <v>8.8199999999999985</v>
      </c>
    </row>
    <row r="83" spans="1:6" x14ac:dyDescent="0.25">
      <c r="A83" s="61" t="s">
        <v>133</v>
      </c>
      <c r="B83" s="60">
        <f>'Datos de partida'!B17</f>
        <v>0.01</v>
      </c>
      <c r="C83" s="63"/>
      <c r="D83" s="60">
        <f>'Datos de partida'!B17</f>
        <v>0.01</v>
      </c>
      <c r="E83" s="187"/>
      <c r="F83" s="64"/>
    </row>
    <row r="84" spans="1:6" x14ac:dyDescent="0.25">
      <c r="A84" s="61" t="s">
        <v>132</v>
      </c>
      <c r="B84" s="65">
        <f>'Cálculos comunes'!G17</f>
        <v>0.04</v>
      </c>
      <c r="C84" s="63"/>
      <c r="D84" s="65">
        <f>'Cálculos comunes'!G18</f>
        <v>0.04</v>
      </c>
      <c r="E84" s="187"/>
      <c r="F84" s="64"/>
    </row>
    <row r="85" spans="1:6" x14ac:dyDescent="0.25">
      <c r="A85" s="61" t="s">
        <v>36</v>
      </c>
      <c r="B85" s="65"/>
      <c r="C85" s="63">
        <f>'Datos de partida'!B18</f>
        <v>1.4999999999999999E-2</v>
      </c>
      <c r="D85" s="60"/>
      <c r="E85" s="187">
        <f>'Datos de partida'!B18</f>
        <v>1.4999999999999999E-2</v>
      </c>
      <c r="F85" s="64"/>
    </row>
    <row r="86" spans="1:6" x14ac:dyDescent="0.25">
      <c r="A86" s="61" t="s">
        <v>134</v>
      </c>
      <c r="B86" s="65"/>
      <c r="C86" s="63">
        <f>'Cálculos comunes'!G14</f>
        <v>0.06</v>
      </c>
      <c r="D86" s="63"/>
      <c r="E86" s="187">
        <f>'Cálculos comunes'!G15</f>
        <v>0.06</v>
      </c>
      <c r="F86" s="64"/>
    </row>
    <row r="87" spans="1:6" ht="15.75" thickBot="1" x14ac:dyDescent="0.3">
      <c r="A87" s="6"/>
      <c r="B87" s="71"/>
      <c r="C87" s="72"/>
      <c r="D87" s="71"/>
      <c r="E87" s="71"/>
      <c r="F87" s="73"/>
    </row>
    <row r="88" spans="1:6" ht="15.75" thickBot="1" x14ac:dyDescent="0.3">
      <c r="A88" s="66" t="s">
        <v>136</v>
      </c>
      <c r="B88" s="188">
        <f>SUM(B80:B86)</f>
        <v>10.944979999999999</v>
      </c>
      <c r="C88" s="188">
        <f>SUM(C80:C86)</f>
        <v>28.454999999999998</v>
      </c>
      <c r="D88" s="188">
        <f>SUM(D80:D86)</f>
        <v>16.404979999999998</v>
      </c>
      <c r="E88" s="188">
        <f>SUM(E80:E86)</f>
        <v>36.855000000000004</v>
      </c>
      <c r="F88" s="189">
        <f t="shared" ref="F88" si="1">SUM(F80:F86)</f>
        <v>33</v>
      </c>
    </row>
  </sheetData>
  <mergeCells count="16">
    <mergeCell ref="E77:F77"/>
    <mergeCell ref="A1:F2"/>
    <mergeCell ref="A66:D66"/>
    <mergeCell ref="A74:D74"/>
    <mergeCell ref="A58:D58"/>
    <mergeCell ref="A76:F76"/>
    <mergeCell ref="A36:F36"/>
    <mergeCell ref="E37:F37"/>
    <mergeCell ref="A5:F6"/>
    <mergeCell ref="A53:F54"/>
    <mergeCell ref="A56:D56"/>
    <mergeCell ref="A18:D18"/>
    <mergeCell ref="A26:D26"/>
    <mergeCell ref="A9:D9"/>
    <mergeCell ref="A11:D11"/>
    <mergeCell ref="A34:D34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1"/>
  <sheetViews>
    <sheetView zoomScaleNormal="100" workbookViewId="0">
      <selection activeCell="B82" sqref="B82:F83"/>
    </sheetView>
  </sheetViews>
  <sheetFormatPr baseColWidth="10" defaultRowHeight="15" x14ac:dyDescent="0.25"/>
  <cols>
    <col min="2" max="2" width="24.7109375" customWidth="1"/>
    <col min="3" max="3" width="17.85546875" customWidth="1"/>
    <col min="4" max="4" width="16.85546875" customWidth="1"/>
    <col min="5" max="5" width="14" customWidth="1"/>
    <col min="6" max="6" width="16" customWidth="1"/>
    <col min="7" max="7" width="16.85546875" customWidth="1"/>
    <col min="8" max="8" width="19.28515625" customWidth="1"/>
  </cols>
  <sheetData>
    <row r="1" spans="2:8" x14ac:dyDescent="0.25">
      <c r="B1" s="454" t="s">
        <v>158</v>
      </c>
      <c r="C1" s="455"/>
      <c r="D1" s="455"/>
      <c r="E1" s="455"/>
      <c r="F1" s="455"/>
      <c r="G1" s="455"/>
      <c r="H1" s="456"/>
    </row>
    <row r="2" spans="2:8" x14ac:dyDescent="0.25">
      <c r="B2" s="455"/>
      <c r="C2" s="455"/>
      <c r="D2" s="455"/>
      <c r="E2" s="455"/>
      <c r="F2" s="455"/>
      <c r="G2" s="455"/>
      <c r="H2" s="456"/>
    </row>
    <row r="4" spans="2:8" ht="15" customHeight="1" thickBot="1" x14ac:dyDescent="0.3"/>
    <row r="5" spans="2:8" ht="15" customHeight="1" thickBot="1" x14ac:dyDescent="0.3">
      <c r="B5" s="402" t="s">
        <v>151</v>
      </c>
      <c r="C5" s="435"/>
      <c r="D5" s="435"/>
      <c r="E5" s="436"/>
    </row>
    <row r="6" spans="2:8" x14ac:dyDescent="0.25">
      <c r="B6" s="357"/>
      <c r="C6" s="122" t="str">
        <f>'Datos de partida'!B10</f>
        <v>CANTIDAD</v>
      </c>
      <c r="D6" s="122" t="s">
        <v>15</v>
      </c>
      <c r="E6" s="123" t="s">
        <v>82</v>
      </c>
    </row>
    <row r="7" spans="2:8" x14ac:dyDescent="0.25">
      <c r="B7" s="2" t="s">
        <v>2</v>
      </c>
      <c r="C7" s="20">
        <f>'Datos de partida'!Q5</f>
        <v>400</v>
      </c>
      <c r="D7" s="20">
        <f>'Datos de partida'!R5</f>
        <v>12.755000000000001</v>
      </c>
      <c r="E7" s="21">
        <f t="shared" ref="E7:E8" si="0">+C7*D7</f>
        <v>5102</v>
      </c>
    </row>
    <row r="8" spans="2:8" ht="15.75" thickBot="1" x14ac:dyDescent="0.3">
      <c r="B8" s="2" t="s">
        <v>152</v>
      </c>
      <c r="C8" s="203">
        <f>'Datos de partida'!C3</f>
        <v>4000</v>
      </c>
      <c r="D8" s="203">
        <f>'Apartado 2.A.'!C27</f>
        <v>16.722999999999999</v>
      </c>
      <c r="E8" s="21">
        <f t="shared" si="0"/>
        <v>66892</v>
      </c>
    </row>
    <row r="9" spans="2:8" ht="15.75" thickBot="1" x14ac:dyDescent="0.3">
      <c r="B9" s="356" t="s">
        <v>18</v>
      </c>
      <c r="C9" s="88">
        <f>'Datos de partida'!S5</f>
        <v>4200</v>
      </c>
      <c r="D9" s="91">
        <f>(E7+E8)/(C7+C8)</f>
        <v>16.362272727272728</v>
      </c>
      <c r="E9" s="88">
        <f>C9*D9</f>
        <v>68721.545454545456</v>
      </c>
    </row>
    <row r="10" spans="2:8" x14ac:dyDescent="0.25">
      <c r="E10" s="40"/>
    </row>
    <row r="11" spans="2:8" ht="15.75" thickBot="1" x14ac:dyDescent="0.3"/>
    <row r="12" spans="2:8" ht="15.75" thickBot="1" x14ac:dyDescent="0.3">
      <c r="B12" s="13"/>
      <c r="C12" s="130" t="s">
        <v>37</v>
      </c>
      <c r="D12" s="131" t="s">
        <v>40</v>
      </c>
      <c r="E12" s="131" t="s">
        <v>39</v>
      </c>
    </row>
    <row r="13" spans="2:8" ht="15.75" thickBot="1" x14ac:dyDescent="0.3">
      <c r="B13" s="86" t="s">
        <v>153</v>
      </c>
      <c r="C13" s="358">
        <f>'Apartado 2.A.'!D27</f>
        <v>51.475000000000009</v>
      </c>
      <c r="D13" s="267">
        <f>'Apartado 2.A.'!E27</f>
        <v>22.182999999999996</v>
      </c>
      <c r="E13" s="268">
        <f>'Apartado 2.A.'!F27</f>
        <v>59.875000000000007</v>
      </c>
    </row>
    <row r="15" spans="2:8" ht="15.75" thickBot="1" x14ac:dyDescent="0.3"/>
    <row r="16" spans="2:8" ht="15.75" thickBot="1" x14ac:dyDescent="0.3">
      <c r="C16" s="126" t="s">
        <v>38</v>
      </c>
      <c r="D16" s="126" t="s">
        <v>37</v>
      </c>
      <c r="E16" s="127" t="s">
        <v>40</v>
      </c>
      <c r="F16" s="127" t="s">
        <v>39</v>
      </c>
      <c r="G16" s="128" t="s">
        <v>6</v>
      </c>
    </row>
    <row r="17" spans="2:9" ht="15.75" thickBot="1" x14ac:dyDescent="0.3">
      <c r="B17" s="205" t="s">
        <v>149</v>
      </c>
      <c r="C17" s="210">
        <f>'Datos de partida'!S5*'Datos de partida'!T5</f>
        <v>105000</v>
      </c>
      <c r="D17" s="211">
        <f>'Datos de partida'!S6*'Datos de partida'!T6</f>
        <v>21600</v>
      </c>
      <c r="E17" s="211">
        <f>'Datos de partida'!S7*'Datos de partida'!T7</f>
        <v>140000</v>
      </c>
      <c r="F17" s="211">
        <f>'Datos de partida'!S8*'Datos de partida'!T8</f>
        <v>43400</v>
      </c>
      <c r="G17" s="212">
        <f>SUM(C17:F17)</f>
        <v>310000</v>
      </c>
      <c r="I17" s="40"/>
    </row>
    <row r="18" spans="2:9" x14ac:dyDescent="0.25">
      <c r="B18" s="206" t="s">
        <v>150</v>
      </c>
      <c r="C18" s="210">
        <f>C9*D9</f>
        <v>68721.545454545456</v>
      </c>
      <c r="D18" s="210">
        <f>C13*'Datos de partida'!S6</f>
        <v>20590.000000000004</v>
      </c>
      <c r="E18" s="210">
        <f>D13*'Datos de partida'!S7</f>
        <v>110914.99999999999</v>
      </c>
      <c r="F18" s="210">
        <f>E13*'Datos de partida'!S8</f>
        <v>41912.500000000007</v>
      </c>
      <c r="G18" s="210">
        <f>SUM(C18:F18)</f>
        <v>242139.04545454544</v>
      </c>
      <c r="I18" s="40"/>
    </row>
    <row r="19" spans="2:9" x14ac:dyDescent="0.25">
      <c r="B19" s="208" t="s">
        <v>154</v>
      </c>
      <c r="C19" s="242">
        <f>C17-C18</f>
        <v>36278.454545454544</v>
      </c>
      <c r="D19" s="242">
        <f t="shared" ref="D19:F19" si="1">D17-D18</f>
        <v>1009.9999999999964</v>
      </c>
      <c r="E19" s="242">
        <f t="shared" si="1"/>
        <v>29085.000000000015</v>
      </c>
      <c r="F19" s="242">
        <f t="shared" si="1"/>
        <v>1487.4999999999927</v>
      </c>
      <c r="G19" s="242">
        <f>G17-G18</f>
        <v>67860.954545454559</v>
      </c>
    </row>
    <row r="20" spans="2:9" ht="15.75" thickBot="1" x14ac:dyDescent="0.3">
      <c r="B20" s="206" t="s">
        <v>155</v>
      </c>
      <c r="C20" s="13"/>
      <c r="D20" s="13"/>
      <c r="E20" s="13"/>
      <c r="F20" s="13"/>
      <c r="G20" s="269">
        <f>'Datos de partida'!H10-'Datos de partida'!H14</f>
        <v>3830</v>
      </c>
    </row>
    <row r="21" spans="2:9" ht="15.75" thickBot="1" x14ac:dyDescent="0.3">
      <c r="B21" s="248" t="s">
        <v>156</v>
      </c>
      <c r="C21" s="204"/>
      <c r="D21" s="204"/>
      <c r="E21" s="204"/>
      <c r="F21" s="204"/>
      <c r="G21" s="249">
        <f>G19-G20</f>
        <v>64030.954545454559</v>
      </c>
    </row>
    <row r="22" spans="2:9" s="363" customFormat="1" x14ac:dyDescent="0.25">
      <c r="B22" s="364"/>
      <c r="C22" s="30"/>
      <c r="D22" s="30"/>
      <c r="E22" s="30"/>
      <c r="F22" s="30"/>
      <c r="G22" s="365"/>
    </row>
    <row r="23" spans="2:9" s="363" customFormat="1" x14ac:dyDescent="0.25">
      <c r="B23" s="364"/>
      <c r="C23" s="30"/>
      <c r="D23" s="30"/>
      <c r="E23" s="30"/>
      <c r="F23" s="30"/>
      <c r="G23" s="365"/>
    </row>
    <row r="25" spans="2:9" ht="15" customHeight="1" x14ac:dyDescent="0.25">
      <c r="B25" s="457" t="s">
        <v>166</v>
      </c>
      <c r="C25" s="458"/>
      <c r="D25" s="458"/>
      <c r="E25" s="458"/>
      <c r="F25" s="458"/>
      <c r="G25" s="458"/>
      <c r="H25" s="459"/>
    </row>
    <row r="26" spans="2:9" ht="15" customHeight="1" x14ac:dyDescent="0.25">
      <c r="B26" s="458"/>
      <c r="C26" s="458"/>
      <c r="D26" s="458"/>
      <c r="E26" s="458"/>
      <c r="F26" s="458"/>
      <c r="G26" s="458"/>
      <c r="H26" s="459"/>
    </row>
    <row r="27" spans="2:9" s="363" customFormat="1" ht="15" customHeight="1" x14ac:dyDescent="0.25">
      <c r="B27" s="361"/>
      <c r="C27" s="361"/>
      <c r="D27" s="361"/>
      <c r="E27" s="361"/>
      <c r="F27" s="361"/>
      <c r="G27" s="361"/>
      <c r="H27" s="362"/>
    </row>
    <row r="28" spans="2:9" ht="15.75" thickBot="1" x14ac:dyDescent="0.3"/>
    <row r="29" spans="2:9" ht="15.75" thickBot="1" x14ac:dyDescent="0.3">
      <c r="B29" s="422" t="s">
        <v>151</v>
      </c>
      <c r="C29" s="423"/>
      <c r="D29" s="423"/>
      <c r="E29" s="424"/>
    </row>
    <row r="30" spans="2:9" x14ac:dyDescent="0.25">
      <c r="B30" s="357"/>
      <c r="C30" s="122" t="s">
        <v>23</v>
      </c>
      <c r="D30" s="122" t="s">
        <v>15</v>
      </c>
      <c r="E30" s="123" t="s">
        <v>82</v>
      </c>
    </row>
    <row r="31" spans="2:9" x14ac:dyDescent="0.25">
      <c r="B31" s="4" t="s">
        <v>2</v>
      </c>
      <c r="C31" s="20">
        <f>'Datos de partida'!Q5</f>
        <v>400</v>
      </c>
      <c r="D31" s="20">
        <f>'Datos de partida'!R5</f>
        <v>12.755000000000001</v>
      </c>
      <c r="E31" s="21">
        <f t="shared" ref="E31:E32" si="2">+C31*D31</f>
        <v>5102</v>
      </c>
    </row>
    <row r="32" spans="2:9" ht="15.75" thickBot="1" x14ac:dyDescent="0.3">
      <c r="B32" s="202" t="s">
        <v>152</v>
      </c>
      <c r="C32" s="203">
        <f>'Datos de partida'!C3</f>
        <v>4000</v>
      </c>
      <c r="D32" s="203">
        <f>'Apartado 2.B'!C33</f>
        <v>16.221</v>
      </c>
      <c r="E32" s="21">
        <f t="shared" si="2"/>
        <v>64884</v>
      </c>
    </row>
    <row r="33" spans="2:10" ht="15.75" thickBot="1" x14ac:dyDescent="0.3">
      <c r="B33" s="86" t="s">
        <v>18</v>
      </c>
      <c r="C33" s="88">
        <f>'Datos de partida'!S5</f>
        <v>4200</v>
      </c>
      <c r="D33" s="91">
        <f>(E31+E32)/(C31+C32)</f>
        <v>15.905909090909091</v>
      </c>
      <c r="E33" s="88">
        <f>C33*D33</f>
        <v>66804.818181818177</v>
      </c>
    </row>
    <row r="34" spans="2:10" x14ac:dyDescent="0.25">
      <c r="E34" s="40"/>
    </row>
    <row r="35" spans="2:10" ht="15.75" thickBot="1" x14ac:dyDescent="0.3"/>
    <row r="36" spans="2:10" ht="15.75" thickBot="1" x14ac:dyDescent="0.3">
      <c r="B36" s="13"/>
      <c r="C36" s="130" t="s">
        <v>37</v>
      </c>
      <c r="D36" s="131" t="s">
        <v>40</v>
      </c>
      <c r="E36" s="131" t="s">
        <v>39</v>
      </c>
    </row>
    <row r="37" spans="2:10" ht="15.75" thickBot="1" x14ac:dyDescent="0.3">
      <c r="B37" s="89" t="s">
        <v>153</v>
      </c>
      <c r="C37" s="266">
        <f>'Apartado 2.B'!D33</f>
        <v>49.475000000000009</v>
      </c>
      <c r="D37" s="267">
        <f>'Apartado 2.B'!E33</f>
        <v>21.681000000000001</v>
      </c>
      <c r="E37" s="268">
        <f>'Apartado 2.B'!F33</f>
        <v>57.875000000000007</v>
      </c>
    </row>
    <row r="39" spans="2:10" ht="15.75" thickBot="1" x14ac:dyDescent="0.3"/>
    <row r="40" spans="2:10" ht="15.75" thickBot="1" x14ac:dyDescent="0.3">
      <c r="C40" s="126" t="s">
        <v>38</v>
      </c>
      <c r="D40" s="126" t="s">
        <v>37</v>
      </c>
      <c r="E40" s="127" t="s">
        <v>40</v>
      </c>
      <c r="F40" s="127" t="s">
        <v>39</v>
      </c>
      <c r="G40" s="128" t="s">
        <v>157</v>
      </c>
      <c r="H40" s="128" t="s">
        <v>6</v>
      </c>
    </row>
    <row r="41" spans="2:10" ht="15.75" thickBot="1" x14ac:dyDescent="0.3">
      <c r="B41" s="205" t="s">
        <v>149</v>
      </c>
      <c r="C41" s="210">
        <f>'Datos de partida'!S5*'Datos de partida'!T5</f>
        <v>105000</v>
      </c>
      <c r="D41" s="211">
        <f>'Datos de partida'!S6*'Datos de partida'!T6</f>
        <v>21600</v>
      </c>
      <c r="E41" s="211">
        <f>'Datos de partida'!S7*'Datos de partida'!T7</f>
        <v>140000</v>
      </c>
      <c r="F41" s="211">
        <f>'Datos de partida'!S8*'Datos de partida'!T8</f>
        <v>43400</v>
      </c>
      <c r="G41" s="211">
        <f>'Datos de partida'!T10*'Datos de partida'!I29</f>
        <v>7200</v>
      </c>
      <c r="H41" s="212">
        <f>SUM(C41:G41)</f>
        <v>317200</v>
      </c>
    </row>
    <row r="42" spans="2:10" x14ac:dyDescent="0.25">
      <c r="B42" s="206" t="s">
        <v>150</v>
      </c>
      <c r="C42" s="210">
        <f>D33*'Datos de partida'!S5</f>
        <v>66804.818181818177</v>
      </c>
      <c r="D42" s="210">
        <f>C37*'Datos de partida'!S6</f>
        <v>19790.000000000004</v>
      </c>
      <c r="E42" s="210">
        <f>D37*'Datos de partida'!S7</f>
        <v>108405</v>
      </c>
      <c r="F42" s="210">
        <f>E37*'Datos de partida'!S8</f>
        <v>40512.500000000007</v>
      </c>
      <c r="G42" s="210">
        <f>'Datos de partida'!I29*'Apartado 2.B'!D9</f>
        <v>7200</v>
      </c>
      <c r="H42" s="210">
        <f>SUM(C42:G42)</f>
        <v>242712.31818181818</v>
      </c>
      <c r="I42" s="40"/>
    </row>
    <row r="43" spans="2:10" x14ac:dyDescent="0.25">
      <c r="B43" s="208" t="s">
        <v>154</v>
      </c>
      <c r="C43" s="242">
        <f>C41-C42</f>
        <v>38195.181818181823</v>
      </c>
      <c r="D43" s="243">
        <f t="shared" ref="D43" si="3">D41-D42</f>
        <v>1809.9999999999964</v>
      </c>
      <c r="E43" s="243">
        <f t="shared" ref="E43" si="4">E41-E42</f>
        <v>31595</v>
      </c>
      <c r="F43" s="243">
        <f t="shared" ref="F43" si="5">F41-F42</f>
        <v>2887.4999999999927</v>
      </c>
      <c r="G43" s="243">
        <f t="shared" ref="G43" si="6">G41-G42</f>
        <v>0</v>
      </c>
      <c r="H43" s="244">
        <f>H41-H42</f>
        <v>74487.681818181823</v>
      </c>
    </row>
    <row r="44" spans="2:10" ht="15.75" thickBot="1" x14ac:dyDescent="0.3">
      <c r="B44" s="206" t="s">
        <v>155</v>
      </c>
      <c r="C44" s="245"/>
      <c r="D44" s="245"/>
      <c r="E44" s="245"/>
      <c r="F44" s="245"/>
      <c r="G44" s="245"/>
      <c r="H44" s="246">
        <f>'Datos de partida'!H10-'Datos de partida'!H14</f>
        <v>3830</v>
      </c>
    </row>
    <row r="45" spans="2:10" ht="15.75" thickBot="1" x14ac:dyDescent="0.3">
      <c r="B45" s="248" t="s">
        <v>156</v>
      </c>
      <c r="C45" s="247"/>
      <c r="D45" s="247"/>
      <c r="E45" s="247"/>
      <c r="F45" s="247"/>
      <c r="G45" s="247"/>
      <c r="H45" s="249">
        <f>H43-H44</f>
        <v>70657.681818181823</v>
      </c>
    </row>
    <row r="48" spans="2:10" ht="15" customHeight="1" x14ac:dyDescent="0.25">
      <c r="B48" s="457" t="s">
        <v>167</v>
      </c>
      <c r="C48" s="457"/>
      <c r="D48" s="457"/>
      <c r="E48" s="457"/>
      <c r="F48" s="457"/>
      <c r="G48" s="457"/>
      <c r="H48" s="457"/>
      <c r="I48" s="457"/>
      <c r="J48" s="457"/>
    </row>
    <row r="49" spans="2:10" ht="15" customHeight="1" x14ac:dyDescent="0.25">
      <c r="B49" s="457"/>
      <c r="C49" s="457"/>
      <c r="D49" s="457"/>
      <c r="E49" s="457"/>
      <c r="F49" s="457"/>
      <c r="G49" s="457"/>
      <c r="H49" s="457"/>
      <c r="I49" s="457"/>
      <c r="J49" s="457"/>
    </row>
    <row r="51" spans="2:10" ht="15.75" thickBot="1" x14ac:dyDescent="0.3"/>
    <row r="52" spans="2:10" ht="15.75" thickBot="1" x14ac:dyDescent="0.3">
      <c r="B52" s="422" t="s">
        <v>151</v>
      </c>
      <c r="C52" s="423"/>
      <c r="D52" s="423"/>
      <c r="E52" s="424"/>
    </row>
    <row r="53" spans="2:10" x14ac:dyDescent="0.25">
      <c r="B53" s="24"/>
      <c r="C53" s="169" t="s">
        <v>23</v>
      </c>
      <c r="D53" s="169" t="s">
        <v>15</v>
      </c>
      <c r="E53" s="240" t="s">
        <v>82</v>
      </c>
    </row>
    <row r="54" spans="2:10" x14ac:dyDescent="0.25">
      <c r="B54" s="4" t="s">
        <v>2</v>
      </c>
      <c r="C54" s="20">
        <f>'Datos de partida'!Q5</f>
        <v>400</v>
      </c>
      <c r="D54" s="272">
        <f>'Datos de partida'!R5</f>
        <v>12.755000000000001</v>
      </c>
      <c r="E54" s="21">
        <f t="shared" ref="E54:E55" si="7">+C54*D54</f>
        <v>5102</v>
      </c>
    </row>
    <row r="55" spans="2:10" ht="15.75" thickBot="1" x14ac:dyDescent="0.3">
      <c r="B55" s="202" t="s">
        <v>152</v>
      </c>
      <c r="C55" s="203">
        <f>'Datos de partida'!C3</f>
        <v>4000</v>
      </c>
      <c r="D55" s="203">
        <f>'Apartado 2.C'!B48</f>
        <v>10.944979999999999</v>
      </c>
      <c r="E55" s="21">
        <f t="shared" si="7"/>
        <v>43779.92</v>
      </c>
      <c r="F55" s="40"/>
    </row>
    <row r="56" spans="2:10" ht="15.75" thickBot="1" x14ac:dyDescent="0.3">
      <c r="B56" s="86" t="s">
        <v>18</v>
      </c>
      <c r="C56" s="88">
        <f>'Datos de partida'!S5</f>
        <v>4200</v>
      </c>
      <c r="D56" s="91">
        <f>(E54+E55)/(C54+C55)</f>
        <v>11.109527272727272</v>
      </c>
      <c r="E56" s="88">
        <f>C56*D56</f>
        <v>46660.014545454542</v>
      </c>
    </row>
    <row r="57" spans="2:10" x14ac:dyDescent="0.25">
      <c r="E57" s="40"/>
    </row>
    <row r="58" spans="2:10" ht="15.75" thickBot="1" x14ac:dyDescent="0.3"/>
    <row r="59" spans="2:10" ht="15.75" thickBot="1" x14ac:dyDescent="0.3">
      <c r="C59" s="222" t="s">
        <v>37</v>
      </c>
      <c r="D59" s="223" t="s">
        <v>40</v>
      </c>
      <c r="E59" s="223" t="s">
        <v>39</v>
      </c>
      <c r="F59" s="224" t="s">
        <v>80</v>
      </c>
    </row>
    <row r="60" spans="2:10" ht="15.75" thickBot="1" x14ac:dyDescent="0.3">
      <c r="B60" s="207" t="s">
        <v>153</v>
      </c>
      <c r="C60" s="250">
        <f>'Apartado 2.C'!C48</f>
        <v>28.454999999999998</v>
      </c>
      <c r="D60" s="251">
        <f>'Apartado 2.C'!D48</f>
        <v>16.404979999999998</v>
      </c>
      <c r="E60" s="251">
        <f>'Apartado 2.C'!E48</f>
        <v>36.855000000000004</v>
      </c>
      <c r="F60" s="252">
        <f>'Apartado 2.C'!C15</f>
        <v>1.18</v>
      </c>
    </row>
    <row r="62" spans="2:10" ht="15.75" thickBot="1" x14ac:dyDescent="0.3"/>
    <row r="63" spans="2:10" ht="15.75" thickBot="1" x14ac:dyDescent="0.3">
      <c r="C63" s="219" t="s">
        <v>38</v>
      </c>
      <c r="D63" s="219" t="s">
        <v>37</v>
      </c>
      <c r="E63" s="220" t="s">
        <v>40</v>
      </c>
      <c r="F63" s="220" t="s">
        <v>39</v>
      </c>
      <c r="G63" s="221" t="s">
        <v>120</v>
      </c>
      <c r="H63" s="221" t="s">
        <v>6</v>
      </c>
    </row>
    <row r="64" spans="2:10" ht="15.75" thickBot="1" x14ac:dyDescent="0.3">
      <c r="B64" s="205" t="s">
        <v>149</v>
      </c>
      <c r="C64" s="253">
        <f>'Datos de partida'!S5*'Datos de partida'!T5</f>
        <v>105000</v>
      </c>
      <c r="D64" s="211">
        <f>'Datos de partida'!S6*'Datos de partida'!T6</f>
        <v>21600</v>
      </c>
      <c r="E64" s="211">
        <f>'Datos de partida'!S7*'Datos de partida'!T7</f>
        <v>140000</v>
      </c>
      <c r="F64" s="211">
        <f>'Datos de partida'!S8*'Datos de partida'!T8</f>
        <v>43400</v>
      </c>
      <c r="G64" s="211">
        <f>'Datos de partida'!T11*'Datos de partida'!L29</f>
        <v>86400</v>
      </c>
      <c r="H64" s="212">
        <f>SUM(C64:G64)</f>
        <v>396400</v>
      </c>
    </row>
    <row r="65" spans="2:9" x14ac:dyDescent="0.25">
      <c r="B65" s="206" t="s">
        <v>150</v>
      </c>
      <c r="C65" s="253">
        <f>C56*D56</f>
        <v>46660.014545454542</v>
      </c>
      <c r="D65" s="210">
        <f>C60*'Datos de partida'!S6</f>
        <v>11382</v>
      </c>
      <c r="E65" s="210">
        <f>D60*'Datos de partida'!S7</f>
        <v>82024.899999999994</v>
      </c>
      <c r="F65" s="210">
        <f>E60*'Datos de partida'!S8</f>
        <v>25798.500000000004</v>
      </c>
      <c r="G65" s="210">
        <f>'Datos de partida'!L29*'Apartado 2.C'!C15</f>
        <v>84960</v>
      </c>
      <c r="H65" s="254">
        <f>SUM(C65:G65)</f>
        <v>250825.41454545455</v>
      </c>
      <c r="I65" s="40"/>
    </row>
    <row r="66" spans="2:9" x14ac:dyDescent="0.25">
      <c r="B66" s="208" t="s">
        <v>154</v>
      </c>
      <c r="C66" s="255">
        <f>C64-C65</f>
        <v>58339.985454545458</v>
      </c>
      <c r="D66" s="243">
        <f t="shared" ref="D66" si="8">D64-D65</f>
        <v>10218</v>
      </c>
      <c r="E66" s="243">
        <f t="shared" ref="E66" si="9">E64-E65</f>
        <v>57975.100000000006</v>
      </c>
      <c r="F66" s="243">
        <f t="shared" ref="F66" si="10">F64-F65</f>
        <v>17601.499999999996</v>
      </c>
      <c r="G66" s="243">
        <f t="shared" ref="G66" si="11">G64-G65</f>
        <v>1440</v>
      </c>
      <c r="H66" s="244">
        <f>H64-H65</f>
        <v>145574.58545454545</v>
      </c>
    </row>
    <row r="67" spans="2:9" ht="15.75" thickBot="1" x14ac:dyDescent="0.3">
      <c r="B67" s="206" t="s">
        <v>155</v>
      </c>
      <c r="C67" s="256"/>
      <c r="D67" s="245"/>
      <c r="E67" s="245"/>
      <c r="F67" s="245"/>
      <c r="G67" s="245"/>
      <c r="H67" s="246">
        <f>'Datos de partida'!H10</f>
        <v>5270</v>
      </c>
    </row>
    <row r="68" spans="2:9" ht="15.75" thickBot="1" x14ac:dyDescent="0.3">
      <c r="B68" s="248" t="s">
        <v>156</v>
      </c>
      <c r="C68" s="270"/>
      <c r="D68" s="271"/>
      <c r="E68" s="271"/>
      <c r="F68" s="271"/>
      <c r="G68" s="271"/>
      <c r="H68" s="249">
        <f>H66-H67</f>
        <v>140304.58545454545</v>
      </c>
    </row>
    <row r="71" spans="2:9" ht="15" customHeight="1" x14ac:dyDescent="0.25">
      <c r="B71" s="457" t="s">
        <v>168</v>
      </c>
      <c r="C71" s="457"/>
      <c r="D71" s="457"/>
      <c r="E71" s="457"/>
      <c r="F71" s="457"/>
      <c r="G71" s="457"/>
      <c r="H71" s="457"/>
    </row>
    <row r="72" spans="2:9" ht="15" customHeight="1" x14ac:dyDescent="0.25">
      <c r="B72" s="457"/>
      <c r="C72" s="457"/>
      <c r="D72" s="457"/>
      <c r="E72" s="457"/>
      <c r="F72" s="457"/>
      <c r="G72" s="457"/>
      <c r="H72" s="457"/>
    </row>
    <row r="74" spans="2:9" ht="15.75" thickBot="1" x14ac:dyDescent="0.3"/>
    <row r="75" spans="2:9" ht="15.75" thickBot="1" x14ac:dyDescent="0.3">
      <c r="B75" s="422" t="s">
        <v>151</v>
      </c>
      <c r="C75" s="423"/>
      <c r="D75" s="423"/>
      <c r="E75" s="424"/>
    </row>
    <row r="76" spans="2:9" x14ac:dyDescent="0.25">
      <c r="B76" s="24"/>
      <c r="C76" s="169" t="s">
        <v>23</v>
      </c>
      <c r="D76" s="169" t="s">
        <v>15</v>
      </c>
      <c r="E76" s="240" t="s">
        <v>82</v>
      </c>
    </row>
    <row r="77" spans="2:9" x14ac:dyDescent="0.25">
      <c r="B77" s="4" t="s">
        <v>2</v>
      </c>
      <c r="C77" s="20">
        <f>'Datos de partida'!Q5</f>
        <v>400</v>
      </c>
      <c r="D77" s="20">
        <f>'Datos de partida'!R5</f>
        <v>12.755000000000001</v>
      </c>
      <c r="E77" s="21">
        <f t="shared" ref="E77:E78" si="12">+C77*D77</f>
        <v>5102</v>
      </c>
    </row>
    <row r="78" spans="2:9" ht="15.75" thickBot="1" x14ac:dyDescent="0.3">
      <c r="B78" s="202" t="s">
        <v>152</v>
      </c>
      <c r="C78" s="203">
        <f>'Datos de partida'!C3</f>
        <v>4000</v>
      </c>
      <c r="D78" s="203">
        <f>'Apartado 2.C'!B88</f>
        <v>10.944979999999999</v>
      </c>
      <c r="E78" s="21">
        <f t="shared" si="12"/>
        <v>43779.92</v>
      </c>
    </row>
    <row r="79" spans="2:9" ht="15.75" thickBot="1" x14ac:dyDescent="0.3">
      <c r="B79" s="86" t="s">
        <v>18</v>
      </c>
      <c r="C79" s="88">
        <f>'Datos de partida'!S5</f>
        <v>4200</v>
      </c>
      <c r="D79" s="91">
        <f>(E77+E78)/(C77+C78)</f>
        <v>11.109527272727272</v>
      </c>
      <c r="E79" s="88">
        <f>C79*D79</f>
        <v>46660.014545454542</v>
      </c>
    </row>
    <row r="80" spans="2:9" x14ac:dyDescent="0.25">
      <c r="E80" s="40"/>
    </row>
    <row r="81" spans="2:9" ht="15.75" thickBot="1" x14ac:dyDescent="0.3"/>
    <row r="82" spans="2:9" ht="15.75" thickBot="1" x14ac:dyDescent="0.3">
      <c r="C82" s="222" t="s">
        <v>37</v>
      </c>
      <c r="D82" s="223" t="s">
        <v>40</v>
      </c>
      <c r="E82" s="223" t="s">
        <v>39</v>
      </c>
      <c r="F82" s="224" t="s">
        <v>80</v>
      </c>
    </row>
    <row r="83" spans="2:9" ht="15.75" thickBot="1" x14ac:dyDescent="0.3">
      <c r="B83" s="89" t="s">
        <v>153</v>
      </c>
      <c r="C83" s="250">
        <f>'Apartado 2.C'!C88</f>
        <v>28.454999999999998</v>
      </c>
      <c r="D83" s="251">
        <f>'Apartado 2.C'!D88</f>
        <v>16.404979999999998</v>
      </c>
      <c r="E83" s="251">
        <f>'Apartado 2.C'!E88</f>
        <v>36.855000000000004</v>
      </c>
      <c r="F83" s="252">
        <f>'Apartado 2.C'!C63</f>
        <v>2.9000000000000001E-2</v>
      </c>
    </row>
    <row r="85" spans="2:9" ht="15.75" thickBot="1" x14ac:dyDescent="0.3"/>
    <row r="86" spans="2:9" ht="15.75" thickBot="1" x14ac:dyDescent="0.3">
      <c r="C86" s="219" t="s">
        <v>38</v>
      </c>
      <c r="D86" s="219" t="s">
        <v>37</v>
      </c>
      <c r="E86" s="220" t="s">
        <v>40</v>
      </c>
      <c r="F86" s="220" t="s">
        <v>39</v>
      </c>
      <c r="G86" s="221" t="s">
        <v>120</v>
      </c>
      <c r="H86" s="221" t="s">
        <v>6</v>
      </c>
    </row>
    <row r="87" spans="2:9" ht="15.75" thickBot="1" x14ac:dyDescent="0.3">
      <c r="B87" s="205" t="s">
        <v>149</v>
      </c>
      <c r="C87" s="253">
        <f>C79*'Datos de partida'!T5</f>
        <v>105000</v>
      </c>
      <c r="D87" s="211">
        <f>'Datos de partida'!S6*'Datos de partida'!T6</f>
        <v>21600</v>
      </c>
      <c r="E87" s="211">
        <f>'Datos de partida'!S7*'Datos de partida'!T7</f>
        <v>140000</v>
      </c>
      <c r="F87" s="211">
        <f>'Datos de partida'!S8*'Datos de partida'!T8</f>
        <v>43400</v>
      </c>
      <c r="G87" s="211">
        <v>0</v>
      </c>
      <c r="H87" s="254">
        <f>SUM(C87:G87)</f>
        <v>310000</v>
      </c>
    </row>
    <row r="88" spans="2:9" x14ac:dyDescent="0.25">
      <c r="B88" s="206" t="s">
        <v>150</v>
      </c>
      <c r="C88" s="253">
        <f>C79*D79</f>
        <v>46660.014545454542</v>
      </c>
      <c r="D88" s="210">
        <f>C83*'Datos de partida'!S6</f>
        <v>11382</v>
      </c>
      <c r="E88" s="210">
        <f>D83*'Datos de partida'!S7</f>
        <v>82024.899999999994</v>
      </c>
      <c r="F88" s="210">
        <f>E83*'Datos de partida'!S8</f>
        <v>25798.500000000004</v>
      </c>
      <c r="G88" s="210">
        <v>0</v>
      </c>
      <c r="H88" s="254">
        <f>SUM(C88:G88)</f>
        <v>165865.41454545455</v>
      </c>
      <c r="I88" s="40"/>
    </row>
    <row r="89" spans="2:9" x14ac:dyDescent="0.25">
      <c r="B89" s="208" t="s">
        <v>154</v>
      </c>
      <c r="C89" s="255">
        <f>C87-C88</f>
        <v>58339.985454545458</v>
      </c>
      <c r="D89" s="243">
        <f t="shared" ref="D89" si="13">D87-D88</f>
        <v>10218</v>
      </c>
      <c r="E89" s="243">
        <f t="shared" ref="E89" si="14">E87-E88</f>
        <v>57975.100000000006</v>
      </c>
      <c r="F89" s="243">
        <f t="shared" ref="F89" si="15">F87-F88</f>
        <v>17601.499999999996</v>
      </c>
      <c r="G89" s="243">
        <f t="shared" ref="G89" si="16">G87-G88</f>
        <v>0</v>
      </c>
      <c r="H89" s="244">
        <f>H87-H88</f>
        <v>144134.58545454545</v>
      </c>
    </row>
    <row r="90" spans="2:9" x14ac:dyDescent="0.25">
      <c r="B90" s="206" t="s">
        <v>155</v>
      </c>
      <c r="C90" s="256"/>
      <c r="D90" s="245"/>
      <c r="E90" s="245"/>
      <c r="F90" s="245"/>
      <c r="G90" s="245"/>
      <c r="H90" s="257">
        <f>'Datos de partida'!H10-'Datos de partida'!H14</f>
        <v>3830</v>
      </c>
    </row>
    <row r="91" spans="2:9" ht="15.75" thickBot="1" x14ac:dyDescent="0.3">
      <c r="B91" s="248" t="s">
        <v>156</v>
      </c>
      <c r="C91" s="270"/>
      <c r="D91" s="271"/>
      <c r="E91" s="271"/>
      <c r="F91" s="271"/>
      <c r="G91" s="271"/>
      <c r="H91" s="273">
        <f>H89-H90</f>
        <v>140304.58545454545</v>
      </c>
    </row>
  </sheetData>
  <mergeCells count="8">
    <mergeCell ref="B5:E5"/>
    <mergeCell ref="B29:E29"/>
    <mergeCell ref="B52:E52"/>
    <mergeCell ref="B75:E75"/>
    <mergeCell ref="B1:H2"/>
    <mergeCell ref="B25:H26"/>
    <mergeCell ref="B71:H72"/>
    <mergeCell ref="B48:J49"/>
  </mergeCells>
  <pageMargins left="0.7" right="0.7" top="0.75" bottom="0.75" header="0.3" footer="0.3"/>
  <pageSetup paperSize="9" scale="69" orientation="portrait" r:id="rId1"/>
  <rowBreaks count="1" manualBreakCount="1">
    <brk id="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3"/>
  <sheetViews>
    <sheetView workbookViewId="0">
      <selection activeCell="I20" sqref="I20"/>
    </sheetView>
  </sheetViews>
  <sheetFormatPr baseColWidth="10" defaultRowHeight="15" x14ac:dyDescent="0.25"/>
  <cols>
    <col min="2" max="2" width="22" customWidth="1"/>
    <col min="3" max="6" width="12.7109375" customWidth="1"/>
    <col min="7" max="7" width="14.28515625" customWidth="1"/>
  </cols>
  <sheetData>
    <row r="3" spans="2:3" ht="15.75" thickBot="1" x14ac:dyDescent="0.3"/>
    <row r="4" spans="2:3" x14ac:dyDescent="0.25">
      <c r="B4" s="216" t="s">
        <v>155</v>
      </c>
      <c r="C4" s="212">
        <f>'Datos de partida'!H10-'Datos de partida'!H14</f>
        <v>3830</v>
      </c>
    </row>
    <row r="5" spans="2:3" ht="15.75" thickBot="1" x14ac:dyDescent="0.3">
      <c r="B5" s="7" t="s">
        <v>170</v>
      </c>
      <c r="C5" s="274">
        <f>C4/G18</f>
        <v>1.2354838709677419E-2</v>
      </c>
    </row>
    <row r="7" spans="2:3" ht="15.75" thickBot="1" x14ac:dyDescent="0.3"/>
    <row r="8" spans="2:3" ht="15.75" thickBot="1" x14ac:dyDescent="0.3">
      <c r="B8" s="114" t="s">
        <v>60</v>
      </c>
      <c r="C8" s="115" t="s">
        <v>79</v>
      </c>
    </row>
    <row r="9" spans="2:3" x14ac:dyDescent="0.25">
      <c r="B9" s="113" t="s">
        <v>53</v>
      </c>
      <c r="C9" s="110">
        <f>$C$5*C18</f>
        <v>1297.258064516129</v>
      </c>
    </row>
    <row r="10" spans="2:3" x14ac:dyDescent="0.25">
      <c r="B10" s="112" t="s">
        <v>52</v>
      </c>
      <c r="C10" s="110">
        <f>$C$5*D18</f>
        <v>266.86451612903227</v>
      </c>
    </row>
    <row r="11" spans="2:3" x14ac:dyDescent="0.25">
      <c r="B11" s="15" t="s">
        <v>55</v>
      </c>
      <c r="C11" s="106">
        <f>$C$5*E18</f>
        <v>1729.6774193548388</v>
      </c>
    </row>
    <row r="12" spans="2:3" ht="15.75" thickBot="1" x14ac:dyDescent="0.3">
      <c r="B12" s="116" t="s">
        <v>54</v>
      </c>
      <c r="C12" s="118">
        <f>$C$5*F18</f>
        <v>536.20000000000005</v>
      </c>
    </row>
    <row r="13" spans="2:3" ht="15.75" thickBot="1" x14ac:dyDescent="0.3">
      <c r="B13" s="111" t="s">
        <v>6</v>
      </c>
      <c r="C13" s="117">
        <f>SUM(C9:C12)</f>
        <v>3830</v>
      </c>
    </row>
    <row r="16" spans="2:3" ht="15.75" thickBot="1" x14ac:dyDescent="0.3"/>
    <row r="17" spans="2:7" ht="15.75" thickBot="1" x14ac:dyDescent="0.3">
      <c r="C17" s="213" t="s">
        <v>38</v>
      </c>
      <c r="D17" s="213" t="s">
        <v>37</v>
      </c>
      <c r="E17" s="214" t="s">
        <v>40</v>
      </c>
      <c r="F17" s="214" t="s">
        <v>39</v>
      </c>
      <c r="G17" s="215" t="s">
        <v>6</v>
      </c>
    </row>
    <row r="18" spans="2:7" ht="15.75" thickBot="1" x14ac:dyDescent="0.3">
      <c r="B18" s="259" t="s">
        <v>149</v>
      </c>
      <c r="C18" s="253">
        <f>'Datos de partida'!S5*'Datos de partida'!T5</f>
        <v>105000</v>
      </c>
      <c r="D18" s="211">
        <f>'Datos de partida'!S6*'Datos de partida'!T6</f>
        <v>21600</v>
      </c>
      <c r="E18" s="211">
        <f>'Datos de partida'!S7*'Datos de partida'!T7</f>
        <v>140000</v>
      </c>
      <c r="F18" s="211">
        <f>'Datos de partida'!S8*'Datos de partida'!T8</f>
        <v>43400</v>
      </c>
      <c r="G18" s="254">
        <f>SUM(C18:F18)</f>
        <v>310000</v>
      </c>
    </row>
    <row r="19" spans="2:7" x14ac:dyDescent="0.25">
      <c r="B19" s="217" t="s">
        <v>150</v>
      </c>
      <c r="C19" s="253">
        <f>'Apartado 3'!C88</f>
        <v>46660.014545454542</v>
      </c>
      <c r="D19" s="210">
        <f>'Apartado 3'!D88</f>
        <v>11382</v>
      </c>
      <c r="E19" s="210">
        <f>'Apartado 3'!E88</f>
        <v>82024.899999999994</v>
      </c>
      <c r="F19" s="210">
        <f>'Apartado 3'!F88</f>
        <v>25798.500000000004</v>
      </c>
      <c r="G19" s="254">
        <f>SUM(C19:F19)</f>
        <v>165865.41454545455</v>
      </c>
    </row>
    <row r="20" spans="2:7" x14ac:dyDescent="0.25">
      <c r="B20" s="260" t="s">
        <v>154</v>
      </c>
      <c r="C20" s="255">
        <f>C18-C19</f>
        <v>58339.985454545458</v>
      </c>
      <c r="D20" s="243">
        <f t="shared" ref="D20:F20" si="0">D18-D19</f>
        <v>10218</v>
      </c>
      <c r="E20" s="243">
        <f t="shared" si="0"/>
        <v>57975.100000000006</v>
      </c>
      <c r="F20" s="243">
        <f t="shared" si="0"/>
        <v>17601.499999999996</v>
      </c>
      <c r="G20" s="244">
        <f>G18-G19</f>
        <v>144134.58545454545</v>
      </c>
    </row>
    <row r="21" spans="2:7" x14ac:dyDescent="0.25">
      <c r="B21" s="217" t="s">
        <v>155</v>
      </c>
      <c r="C21" s="263">
        <f>C9</f>
        <v>1297.258064516129</v>
      </c>
      <c r="D21" s="264">
        <f>C10</f>
        <v>266.86451612903227</v>
      </c>
      <c r="E21" s="264">
        <f>C11</f>
        <v>1729.6774193548388</v>
      </c>
      <c r="F21" s="264">
        <f>C12</f>
        <v>536.20000000000005</v>
      </c>
      <c r="G21" s="257">
        <f>SUM(C21:F21)</f>
        <v>3830</v>
      </c>
    </row>
    <row r="22" spans="2:7" ht="15.75" thickBot="1" x14ac:dyDescent="0.3">
      <c r="B22" s="261" t="s">
        <v>156</v>
      </c>
      <c r="C22" s="265">
        <f>C20-C21</f>
        <v>57042.727390029329</v>
      </c>
      <c r="D22" s="265">
        <f t="shared" ref="D22:F22" si="1">D20-D21</f>
        <v>9951.1354838709685</v>
      </c>
      <c r="E22" s="265">
        <f t="shared" si="1"/>
        <v>56245.422580645165</v>
      </c>
      <c r="F22" s="265">
        <f t="shared" si="1"/>
        <v>17065.299999999996</v>
      </c>
      <c r="G22" s="265">
        <f>SUM(C22:F22)</f>
        <v>140304.58545454545</v>
      </c>
    </row>
    <row r="23" spans="2:7" ht="15.75" thickBot="1" x14ac:dyDescent="0.3">
      <c r="B23" s="117" t="s">
        <v>171</v>
      </c>
      <c r="C23" s="262">
        <f>C22/C18</f>
        <v>0.5432640703812317</v>
      </c>
      <c r="D23" s="262">
        <f t="shared" ref="D23:F23" si="2">D22/D18</f>
        <v>0.46070071684587816</v>
      </c>
      <c r="E23" s="262">
        <f t="shared" si="2"/>
        <v>0.40175301843317973</v>
      </c>
      <c r="F23" s="218">
        <f t="shared" si="2"/>
        <v>0.39320967741935475</v>
      </c>
      <c r="G23" s="258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Datos de partida</vt:lpstr>
      <vt:lpstr>Cálculos comunes</vt:lpstr>
      <vt:lpstr>Apartado 2.A.</vt:lpstr>
      <vt:lpstr>Apartado 2.B</vt:lpstr>
      <vt:lpstr>Apartado 2.C</vt:lpstr>
      <vt:lpstr>Apartado 3</vt:lpstr>
      <vt:lpstr>Apartado 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S.T.I.C.</cp:lastModifiedBy>
  <cp:lastPrinted>2015-02-06T18:55:46Z</cp:lastPrinted>
  <dcterms:created xsi:type="dcterms:W3CDTF">2013-07-16T11:04:36Z</dcterms:created>
  <dcterms:modified xsi:type="dcterms:W3CDTF">2015-06-29T06:17:09Z</dcterms:modified>
</cp:coreProperties>
</file>