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55" windowWidth="16605" windowHeight="9315" activeTab="4"/>
  </bookViews>
  <sheets>
    <sheet name="Datos de partida" sheetId="1" r:id="rId1"/>
    <sheet name="Apartado 1. Distribución costes" sheetId="2" r:id="rId2"/>
    <sheet name="Apartado 2. CT auxiliares" sheetId="3" r:id="rId3"/>
    <sheet name="Apartado 2. Redistribución " sheetId="4" r:id="rId4"/>
    <sheet name="Apartado 3. Coste de producción" sheetId="5" r:id="rId5"/>
    <sheet name="Hoja1" sheetId="6" state="hidden" r:id="rId6"/>
  </sheets>
  <calcPr calcId="144525"/>
</workbook>
</file>

<file path=xl/calcChain.xml><?xml version="1.0" encoding="utf-8"?>
<calcChain xmlns="http://schemas.openxmlformats.org/spreadsheetml/2006/main">
  <c r="E109" i="5" l="1"/>
  <c r="E98" i="5"/>
  <c r="E90" i="5"/>
  <c r="F74" i="5"/>
  <c r="E74" i="5"/>
  <c r="E78" i="5"/>
  <c r="D76" i="5"/>
  <c r="D74" i="5"/>
  <c r="E66" i="5"/>
  <c r="F51" i="5"/>
  <c r="E55" i="5"/>
  <c r="E52" i="5"/>
  <c r="E51" i="5"/>
  <c r="E57" i="5"/>
  <c r="D55" i="5"/>
  <c r="D51" i="5"/>
  <c r="E43" i="5"/>
  <c r="H23" i="5"/>
  <c r="H22" i="5"/>
  <c r="G30" i="5"/>
  <c r="G28" i="5"/>
  <c r="G23" i="5"/>
  <c r="G22" i="5"/>
  <c r="E34" i="5"/>
  <c r="F16" i="5"/>
  <c r="E18" i="5"/>
  <c r="D12" i="5"/>
  <c r="F12" i="5"/>
  <c r="F6" i="5"/>
  <c r="G6" i="5"/>
  <c r="E7" i="6" l="1"/>
  <c r="E8" i="6"/>
  <c r="E9" i="6"/>
  <c r="E10" i="6"/>
  <c r="E11" i="6"/>
  <c r="E12" i="6"/>
  <c r="E13" i="6"/>
  <c r="E14" i="6"/>
  <c r="E15" i="6"/>
  <c r="E16" i="6"/>
  <c r="E17" i="6"/>
  <c r="E18" i="6"/>
  <c r="E19" i="6"/>
  <c r="E6" i="6"/>
  <c r="B40" i="1"/>
  <c r="B42" i="1"/>
  <c r="B38" i="1"/>
  <c r="B37" i="1"/>
  <c r="B43" i="1" s="1"/>
  <c r="B36" i="1"/>
  <c r="B41" i="1" s="1"/>
  <c r="B35" i="1"/>
  <c r="B27" i="1"/>
  <c r="B26" i="1"/>
  <c r="C53" i="5" l="1"/>
  <c r="C80" i="1"/>
  <c r="C63" i="1" l="1"/>
  <c r="C86" i="5" l="1"/>
  <c r="C85" i="5"/>
  <c r="B87" i="5"/>
  <c r="B86" i="5"/>
  <c r="B85" i="5"/>
  <c r="C87" i="5"/>
  <c r="C75" i="5"/>
  <c r="C74" i="5"/>
  <c r="D63" i="1"/>
  <c r="B75" i="5"/>
  <c r="B62" i="5"/>
  <c r="C52" i="5"/>
  <c r="C51" i="5"/>
  <c r="D85" i="5" l="1"/>
  <c r="D87" i="5"/>
  <c r="D86" i="5"/>
  <c r="D75" i="5"/>
  <c r="C22" i="5"/>
  <c r="C6" i="5"/>
  <c r="C30" i="5"/>
  <c r="D30" i="5"/>
  <c r="B27" i="5"/>
  <c r="B11" i="5"/>
  <c r="C26" i="5"/>
  <c r="C25" i="5"/>
  <c r="B26" i="5"/>
  <c r="B25" i="5"/>
  <c r="C24" i="5"/>
  <c r="B24" i="5"/>
  <c r="B23" i="5"/>
  <c r="B7" i="5"/>
  <c r="C14" i="5"/>
  <c r="D14" i="5"/>
  <c r="C10" i="5"/>
  <c r="B10" i="5"/>
  <c r="C9" i="5"/>
  <c r="B9" i="5"/>
  <c r="C8" i="5"/>
  <c r="B8" i="5"/>
  <c r="D11" i="1"/>
  <c r="H96" i="5"/>
  <c r="G96" i="5"/>
  <c r="F96" i="5"/>
  <c r="E96" i="5"/>
  <c r="D96" i="5"/>
  <c r="B6" i="5" l="1"/>
  <c r="B22" i="5" s="1"/>
  <c r="D22" i="5" s="1"/>
  <c r="D88" i="5"/>
  <c r="D31" i="5"/>
  <c r="C39" i="5" s="1"/>
  <c r="B51" i="5"/>
  <c r="B30" i="5"/>
  <c r="D26" i="5"/>
  <c r="D25" i="5"/>
  <c r="D24" i="5"/>
  <c r="B53" i="5" s="1"/>
  <c r="D53" i="5" s="1"/>
  <c r="B14" i="5"/>
  <c r="D8" i="5"/>
  <c r="D6" i="5"/>
  <c r="D10" i="5"/>
  <c r="D9" i="5"/>
  <c r="D15" i="5"/>
  <c r="C45" i="3"/>
  <c r="A8" i="4"/>
  <c r="B7" i="4"/>
  <c r="C7" i="4"/>
  <c r="D7" i="4"/>
  <c r="E7" i="4"/>
  <c r="F7" i="4"/>
  <c r="G7" i="4"/>
  <c r="H7" i="4"/>
  <c r="I7" i="4"/>
  <c r="J7" i="4"/>
  <c r="K7" i="4"/>
  <c r="L7" i="4"/>
  <c r="M7" i="4"/>
  <c r="A9" i="4" s="1"/>
  <c r="N7" i="4"/>
  <c r="A12" i="4" s="1"/>
  <c r="O7" i="4"/>
  <c r="A10" i="4" s="1"/>
  <c r="P7" i="4"/>
  <c r="A11" i="4" s="1"/>
  <c r="A21" i="3"/>
  <c r="E17" i="3" s="1"/>
  <c r="E26" i="3" s="1"/>
  <c r="E35" i="3" s="1"/>
  <c r="A20" i="3"/>
  <c r="A29" i="3" s="1"/>
  <c r="A38" i="3" s="1"/>
  <c r="A48" i="3" s="1"/>
  <c r="A19" i="3"/>
  <c r="A28" i="3" s="1"/>
  <c r="A37" i="3" s="1"/>
  <c r="A47" i="3" s="1"/>
  <c r="A18" i="3"/>
  <c r="A27" i="3" s="1"/>
  <c r="A36" i="3" s="1"/>
  <c r="A46" i="3" s="1"/>
  <c r="C11" i="3"/>
  <c r="C49" i="3" s="1"/>
  <c r="C10" i="3"/>
  <c r="C48" i="3" s="1"/>
  <c r="C9" i="3"/>
  <c r="C47" i="3" s="1"/>
  <c r="C8" i="3"/>
  <c r="C46" i="3" s="1"/>
  <c r="B8" i="2"/>
  <c r="D5" i="2"/>
  <c r="A8" i="2"/>
  <c r="A15" i="2"/>
  <c r="A14" i="2"/>
  <c r="I32" i="1"/>
  <c r="B14" i="2" s="1"/>
  <c r="O14" i="2" s="1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30" i="3" l="1"/>
  <c r="A39" i="3" s="1"/>
  <c r="A49" i="3" s="1"/>
  <c r="B17" i="3"/>
  <c r="B26" i="3" s="1"/>
  <c r="B35" i="3" s="1"/>
  <c r="C17" i="3"/>
  <c r="C26" i="3" s="1"/>
  <c r="C35" i="3" s="1"/>
  <c r="C101" i="5" a="1"/>
  <c r="D17" i="3"/>
  <c r="D26" i="3" s="1"/>
  <c r="D35" i="3" s="1"/>
  <c r="B5" i="2"/>
  <c r="B13" i="2"/>
  <c r="P89" i="1"/>
  <c r="B76" i="1"/>
  <c r="B77" i="1"/>
  <c r="C11" i="5" s="1"/>
  <c r="B63" i="1"/>
  <c r="B74" i="5" s="1"/>
  <c r="B55" i="1"/>
  <c r="B56" i="1"/>
  <c r="C54" i="5"/>
  <c r="C102" i="5" l="1"/>
  <c r="C107" i="5"/>
  <c r="C104" i="5"/>
  <c r="C103" i="5"/>
  <c r="C106" i="5"/>
  <c r="C105" i="5"/>
  <c r="C101" i="5"/>
  <c r="C27" i="5"/>
  <c r="D27" i="5" s="1"/>
  <c r="B54" i="5" s="1"/>
  <c r="D54" i="5" s="1"/>
  <c r="D11" i="5"/>
  <c r="C7" i="5"/>
  <c r="D19" i="3"/>
  <c r="D28" i="3" s="1"/>
  <c r="D18" i="3"/>
  <c r="D27" i="3" s="1"/>
  <c r="D48" i="3"/>
  <c r="D20" i="3"/>
  <c r="D29" i="3" s="1"/>
  <c r="D21" i="3"/>
  <c r="D30" i="3" s="1"/>
  <c r="P88" i="1"/>
  <c r="P87" i="1"/>
  <c r="P86" i="1"/>
  <c r="C23" i="5" l="1"/>
  <c r="D23" i="5" s="1"/>
  <c r="B52" i="5" s="1"/>
  <c r="D52" i="5" s="1"/>
  <c r="D7" i="5"/>
  <c r="E18" i="3"/>
  <c r="E27" i="3" s="1"/>
  <c r="D49" i="3"/>
  <c r="E20" i="3"/>
  <c r="E29" i="3" s="1"/>
  <c r="E19" i="3"/>
  <c r="E28" i="3" s="1"/>
  <c r="B21" i="3"/>
  <c r="B30" i="3" s="1"/>
  <c r="B20" i="3"/>
  <c r="B29" i="3" s="1"/>
  <c r="B19" i="3"/>
  <c r="B28" i="3" s="1"/>
  <c r="E8" i="2"/>
  <c r="F8" i="2" s="1"/>
  <c r="B18" i="3"/>
  <c r="D46" i="3"/>
  <c r="E21" i="3"/>
  <c r="E30" i="3" s="1"/>
  <c r="C21" i="3"/>
  <c r="C30" i="3" s="1"/>
  <c r="C19" i="3"/>
  <c r="C28" i="3" s="1"/>
  <c r="C18" i="3"/>
  <c r="C27" i="3" s="1"/>
  <c r="D47" i="3"/>
  <c r="C20" i="3"/>
  <c r="C29" i="3" s="1"/>
  <c r="B118" i="1"/>
  <c r="D116" i="1"/>
  <c r="D115" i="1"/>
  <c r="B111" i="1"/>
  <c r="D109" i="1"/>
  <c r="D108" i="1"/>
  <c r="B104" i="1"/>
  <c r="D102" i="1"/>
  <c r="D101" i="1"/>
  <c r="B97" i="1"/>
  <c r="D95" i="1"/>
  <c r="D94" i="1"/>
  <c r="F15" i="2" l="1"/>
  <c r="F16" i="2" s="1"/>
  <c r="F8" i="4" s="1"/>
  <c r="C15" i="2"/>
  <c r="E15" i="2"/>
  <c r="E16" i="2" s="1"/>
  <c r="E8" i="4" s="1"/>
  <c r="P15" i="2"/>
  <c r="P16" i="2" s="1"/>
  <c r="P8" i="4" s="1"/>
  <c r="G15" i="2"/>
  <c r="G16" i="2" s="1"/>
  <c r="G8" i="4" s="1"/>
  <c r="H15" i="2"/>
  <c r="H16" i="2" s="1"/>
  <c r="H8" i="4" s="1"/>
  <c r="M15" i="2"/>
  <c r="M16" i="2" s="1"/>
  <c r="I15" i="2"/>
  <c r="I16" i="2" s="1"/>
  <c r="I8" i="4" s="1"/>
  <c r="D15" i="2"/>
  <c r="D16" i="2" s="1"/>
  <c r="D8" i="4" s="1"/>
  <c r="O15" i="2"/>
  <c r="O16" i="2" s="1"/>
  <c r="O8" i="4" s="1"/>
  <c r="J15" i="2"/>
  <c r="J16" i="2" s="1"/>
  <c r="J8" i="4" s="1"/>
  <c r="L15" i="2"/>
  <c r="L16" i="2" s="1"/>
  <c r="L8" i="4" s="1"/>
  <c r="K15" i="2"/>
  <c r="K16" i="2" s="1"/>
  <c r="K8" i="4" s="1"/>
  <c r="N15" i="2"/>
  <c r="N16" i="2" s="1"/>
  <c r="N8" i="4" s="1"/>
  <c r="B36" i="3" a="1"/>
  <c r="D28" i="5"/>
  <c r="C96" i="1"/>
  <c r="C103" i="1"/>
  <c r="C110" i="1"/>
  <c r="C117" i="1"/>
  <c r="C111" i="1" l="1"/>
  <c r="D111" i="1" s="1"/>
  <c r="H100" i="5"/>
  <c r="G100" i="5"/>
  <c r="C16" i="2"/>
  <c r="B15" i="2"/>
  <c r="Q15" i="2" s="1"/>
  <c r="C118" i="1"/>
  <c r="D118" i="1" s="1"/>
  <c r="E100" i="5"/>
  <c r="C104" i="1"/>
  <c r="D104" i="1" s="1"/>
  <c r="E30" i="5"/>
  <c r="E14" i="5"/>
  <c r="D99" i="5"/>
  <c r="B39" i="5"/>
  <c r="D39" i="5" s="1"/>
  <c r="E26" i="5"/>
  <c r="F26" i="5" s="1"/>
  <c r="E11" i="5"/>
  <c r="F11" i="5" s="1"/>
  <c r="E22" i="5"/>
  <c r="F22" i="5" s="1"/>
  <c r="E10" i="5"/>
  <c r="F10" i="5" s="1"/>
  <c r="G98" i="5"/>
  <c r="E25" i="5"/>
  <c r="F25" i="5" s="1"/>
  <c r="E7" i="5"/>
  <c r="F7" i="5" s="1"/>
  <c r="E6" i="5"/>
  <c r="F98" i="5"/>
  <c r="E27" i="5"/>
  <c r="F27" i="5" s="1"/>
  <c r="E23" i="5"/>
  <c r="F23" i="5" s="1"/>
  <c r="E8" i="5"/>
  <c r="F8" i="5" s="1"/>
  <c r="E28" i="5"/>
  <c r="F28" i="5" s="1"/>
  <c r="E24" i="5"/>
  <c r="F24" i="5" s="1"/>
  <c r="E12" i="5"/>
  <c r="E9" i="5"/>
  <c r="F9" i="5" s="1"/>
  <c r="H98" i="5"/>
  <c r="C36" i="3"/>
  <c r="B36" i="3"/>
  <c r="D37" i="3"/>
  <c r="D38" i="3"/>
  <c r="E39" i="3"/>
  <c r="B37" i="3"/>
  <c r="B38" i="3"/>
  <c r="C38" i="3"/>
  <c r="D39" i="3"/>
  <c r="C37" i="3"/>
  <c r="E37" i="3"/>
  <c r="E38" i="3"/>
  <c r="D36" i="3"/>
  <c r="E36" i="3"/>
  <c r="C39" i="3"/>
  <c r="B39" i="3"/>
  <c r="M8" i="4"/>
  <c r="B8" i="3" a="1"/>
  <c r="D103" i="1"/>
  <c r="D117" i="1"/>
  <c r="D96" i="1"/>
  <c r="C97" i="1"/>
  <c r="D97" i="1" s="1"/>
  <c r="D110" i="1"/>
  <c r="C8" i="4" l="1"/>
  <c r="B16" i="2"/>
  <c r="B10" i="3"/>
  <c r="B9" i="3"/>
  <c r="B8" i="3"/>
  <c r="B11" i="3"/>
  <c r="E15" i="5"/>
  <c r="F15" i="5" s="1"/>
  <c r="F14" i="5"/>
  <c r="E31" i="5"/>
  <c r="F31" i="5" s="1"/>
  <c r="F32" i="5" s="1"/>
  <c r="F30" i="5"/>
  <c r="B8" i="4" l="1"/>
  <c r="Q16" i="2"/>
  <c r="B46" i="3" a="1"/>
  <c r="B49" i="3" l="1"/>
  <c r="B48" i="3"/>
  <c r="B46" i="3"/>
  <c r="M9" i="4" s="1"/>
  <c r="B47" i="3"/>
  <c r="N12" i="4" l="1"/>
  <c r="E47" i="3"/>
  <c r="E46" i="3"/>
  <c r="O10" i="4"/>
  <c r="E48" i="3"/>
  <c r="E49" i="3"/>
  <c r="P11" i="4"/>
  <c r="C9" i="4" l="1"/>
  <c r="P9" i="4"/>
  <c r="O9" i="4"/>
  <c r="H9" i="4"/>
  <c r="L9" i="4"/>
  <c r="K9" i="4"/>
  <c r="G9" i="4"/>
  <c r="E9" i="4"/>
  <c r="J9" i="4"/>
  <c r="F9" i="4"/>
  <c r="N9" i="4"/>
  <c r="D9" i="4"/>
  <c r="I9" i="4"/>
  <c r="F11" i="4"/>
  <c r="M11" i="4"/>
  <c r="C11" i="4"/>
  <c r="G11" i="4"/>
  <c r="L11" i="4"/>
  <c r="O11" i="4"/>
  <c r="I11" i="4"/>
  <c r="J11" i="4"/>
  <c r="N11" i="4"/>
  <c r="E11" i="4"/>
  <c r="D11" i="4"/>
  <c r="K11" i="4"/>
  <c r="H11" i="4"/>
  <c r="F10" i="4"/>
  <c r="K10" i="4"/>
  <c r="J10" i="4"/>
  <c r="G10" i="4"/>
  <c r="P10" i="4"/>
  <c r="L10" i="4"/>
  <c r="E10" i="4"/>
  <c r="N10" i="4"/>
  <c r="H10" i="4"/>
  <c r="I10" i="4"/>
  <c r="D10" i="4"/>
  <c r="M10" i="4"/>
  <c r="C10" i="4"/>
  <c r="D12" i="4"/>
  <c r="E12" i="4"/>
  <c r="F12" i="4"/>
  <c r="G12" i="4"/>
  <c r="J12" i="4"/>
  <c r="P12" i="4"/>
  <c r="I12" i="4"/>
  <c r="K12" i="4"/>
  <c r="H12" i="4"/>
  <c r="C12" i="4"/>
  <c r="M12" i="4"/>
  <c r="O12" i="4"/>
  <c r="L12" i="4"/>
  <c r="O13" i="4" l="1"/>
  <c r="O14" i="4" s="1"/>
  <c r="N13" i="4"/>
  <c r="N14" i="4" s="1"/>
  <c r="M13" i="4"/>
  <c r="M14" i="4" s="1"/>
  <c r="I13" i="4"/>
  <c r="I14" i="4" s="1"/>
  <c r="H13" i="4"/>
  <c r="H14" i="4" s="1"/>
  <c r="G13" i="4"/>
  <c r="G14" i="4" s="1"/>
  <c r="B64" i="5" s="1"/>
  <c r="E105" i="5" s="1"/>
  <c r="K13" i="4"/>
  <c r="K14" i="4" s="1"/>
  <c r="P13" i="4"/>
  <c r="P14" i="4" s="1"/>
  <c r="F13" i="4"/>
  <c r="F14" i="4" s="1"/>
  <c r="D13" i="4"/>
  <c r="D14" i="4" s="1"/>
  <c r="E13" i="4"/>
  <c r="E14" i="4" s="1"/>
  <c r="B41" i="5" s="1"/>
  <c r="J13" i="4"/>
  <c r="J14" i="4" s="1"/>
  <c r="L13" i="4"/>
  <c r="L14" i="4" s="1"/>
  <c r="C13" i="4"/>
  <c r="E85" i="5" l="1"/>
  <c r="E87" i="5"/>
  <c r="F87" i="5" s="1"/>
  <c r="E107" i="5" s="1"/>
  <c r="E86" i="5"/>
  <c r="F86" i="5" s="1"/>
  <c r="H107" i="5" s="1"/>
  <c r="E75" i="5"/>
  <c r="F75" i="5" s="1"/>
  <c r="H106" i="5" s="1"/>
  <c r="F105" i="5"/>
  <c r="E53" i="5"/>
  <c r="F53" i="5" s="1"/>
  <c r="E54" i="5"/>
  <c r="F54" i="5" s="1"/>
  <c r="F52" i="5"/>
  <c r="E104" i="5" s="1"/>
  <c r="G25" i="5"/>
  <c r="H25" i="5" s="1"/>
  <c r="G102" i="5" s="1"/>
  <c r="G27" i="5"/>
  <c r="H27" i="5" s="1"/>
  <c r="G24" i="5"/>
  <c r="H24" i="5" s="1"/>
  <c r="F102" i="5" s="1"/>
  <c r="G26" i="5"/>
  <c r="H26" i="5" s="1"/>
  <c r="H102" i="5" s="1"/>
  <c r="E102" i="5"/>
  <c r="G31" i="5"/>
  <c r="H30" i="5"/>
  <c r="D102" i="5" s="1"/>
  <c r="C14" i="4"/>
  <c r="B13" i="4"/>
  <c r="G103" i="5"/>
  <c r="D103" i="5"/>
  <c r="F103" i="5"/>
  <c r="E103" i="5"/>
  <c r="H103" i="5"/>
  <c r="E88" i="5" l="1"/>
  <c r="F85" i="5"/>
  <c r="G107" i="5" s="1"/>
  <c r="F104" i="5"/>
  <c r="E76" i="5"/>
  <c r="G106" i="5"/>
  <c r="D104" i="5"/>
  <c r="G104" i="5"/>
  <c r="H104" i="5"/>
  <c r="G32" i="5"/>
  <c r="B14" i="4"/>
  <c r="G12" i="5" l="1"/>
  <c r="G8" i="5"/>
  <c r="H8" i="5" s="1"/>
  <c r="F101" i="5" s="1"/>
  <c r="F109" i="5" s="1"/>
  <c r="H6" i="5"/>
  <c r="E101" i="5" s="1"/>
  <c r="G9" i="5"/>
  <c r="H9" i="5" s="1"/>
  <c r="G101" i="5" s="1"/>
  <c r="G109" i="5" s="1"/>
  <c r="G7" i="5"/>
  <c r="H7" i="5" s="1"/>
  <c r="G14" i="5"/>
  <c r="G10" i="5"/>
  <c r="H10" i="5" s="1"/>
  <c r="H101" i="5" s="1"/>
  <c r="H109" i="5" s="1"/>
  <c r="G11" i="5"/>
  <c r="H11" i="5" s="1"/>
  <c r="G15" i="5" l="1"/>
  <c r="G16" i="5" s="1"/>
  <c r="H14" i="5"/>
  <c r="D101" i="5" s="1"/>
  <c r="D109" i="5" s="1"/>
</calcChain>
</file>

<file path=xl/sharedStrings.xml><?xml version="1.0" encoding="utf-8"?>
<sst xmlns="http://schemas.openxmlformats.org/spreadsheetml/2006/main" count="391" uniqueCount="209">
  <si>
    <t>PRODUCCIÓN DEL PERIODO</t>
  </si>
  <si>
    <t>BAGUETTE INTEGRAL (BI)</t>
  </si>
  <si>
    <t>BAGUETTE (B)</t>
  </si>
  <si>
    <t>MOLDE CON CORTEZA (MC)</t>
  </si>
  <si>
    <t>PRODUCTO</t>
  </si>
  <si>
    <t xml:space="preserve">FABRICACIÓN </t>
  </si>
  <si>
    <t>VENTAS</t>
  </si>
  <si>
    <t>u.c.</t>
  </si>
  <si>
    <t>bolsas</t>
  </si>
  <si>
    <t>barras</t>
  </si>
  <si>
    <t>BAGUETTE PRECOCIDA CONGELADO (BC)</t>
  </si>
  <si>
    <t>CONCEPTO</t>
  </si>
  <si>
    <t>IMPORTE</t>
  </si>
  <si>
    <t>Existencias iniciales</t>
  </si>
  <si>
    <t>Compras</t>
  </si>
  <si>
    <t>Consumo</t>
  </si>
  <si>
    <t>Existencias finales</t>
  </si>
  <si>
    <t>Kg.</t>
  </si>
  <si>
    <t>€/Kg.</t>
  </si>
  <si>
    <t>INVENTARIO DE MASA INTEGRAL CONGELADA</t>
  </si>
  <si>
    <t>INVENTARIO DE BOLSAS PAN DE MOLDE</t>
  </si>
  <si>
    <t>INVENTARIO DE BOLSAS BAGUETTE CONGELADA</t>
  </si>
  <si>
    <t>BAGUETTE</t>
  </si>
  <si>
    <t>PAN DE MOLDE</t>
  </si>
  <si>
    <t>PRODUCCIÓN</t>
  </si>
  <si>
    <t>CONSUMO DE MASA INTEGRAL CONGELADA</t>
  </si>
  <si>
    <t>Transporte materias primas</t>
  </si>
  <si>
    <t>Recepción y Conservación materias primas</t>
  </si>
  <si>
    <t>Moldeado</t>
  </si>
  <si>
    <t>Horneado</t>
  </si>
  <si>
    <t>Limpieza</t>
  </si>
  <si>
    <t>Cortado</t>
  </si>
  <si>
    <t>Laboratorio</t>
  </si>
  <si>
    <t>Cámaras congelación</t>
  </si>
  <si>
    <t>Comedor</t>
  </si>
  <si>
    <t>Empaquetado</t>
  </si>
  <si>
    <t>Servicio Técnico</t>
  </si>
  <si>
    <t>Almacén pan de molde</t>
  </si>
  <si>
    <t>Distribución</t>
  </si>
  <si>
    <t xml:space="preserve">Administración </t>
  </si>
  <si>
    <t>CENTROS PRINCIPALES</t>
  </si>
  <si>
    <t>CENTROS AUXILIARES</t>
  </si>
  <si>
    <t>CENTROS</t>
  </si>
  <si>
    <t>COSTES ACUMULADOS</t>
  </si>
  <si>
    <t>MOLDE SIN CORTEZA (MSC)</t>
  </si>
  <si>
    <t>INVENTARIO DE MASA TRIGO ENTERA CONGELADA</t>
  </si>
  <si>
    <t>HORNEADO</t>
  </si>
  <si>
    <t>U.C.</t>
  </si>
  <si>
    <t>BARRAS DE PAN DE MOLDE</t>
  </si>
  <si>
    <t>BAGUETTES (B)</t>
  </si>
  <si>
    <t>INPUTS</t>
  </si>
  <si>
    <t>OUTPUTS</t>
  </si>
  <si>
    <t>BAGUETTES PRECOCIDAS PARA SEGUNDA COCCIÓN</t>
  </si>
  <si>
    <t>BAGUETTES CONGELADAS A EMPAQUETAR</t>
  </si>
  <si>
    <t>CÁMARAS CONGELACIÓN</t>
  </si>
  <si>
    <t>CORTADO</t>
  </si>
  <si>
    <t xml:space="preserve">BARRAS DE PAN DE MOLDE SIN CORTEZA </t>
  </si>
  <si>
    <t>BARRAS DE PAN DE MOLDE CON CORTEZA</t>
  </si>
  <si>
    <t>EMPAQUETADO</t>
  </si>
  <si>
    <t>BAGUETTES PRECOCIDAS CONGELADAS</t>
  </si>
  <si>
    <t>BOLSAS DE BAGUETTES CONGELADAS (BC)</t>
  </si>
  <si>
    <t>BARRAS DE PAN DE MOLDE CON CORTEZA EMPAQUETADAS</t>
  </si>
  <si>
    <t>BARRAS DE PAN DE MOLDE SIN CORTEZA EMPAQUETADAS</t>
  </si>
  <si>
    <t>Recep. y Conserv. materias primas</t>
  </si>
  <si>
    <t>TOTAL</t>
  </si>
  <si>
    <t xml:space="preserve">Tiempo cocción </t>
  </si>
  <si>
    <t>minutos/kg. Masa</t>
  </si>
  <si>
    <t>BARRAS PAN MOLDE</t>
  </si>
  <si>
    <t xml:space="preserve">BAGUETTE PRECOCIDAS </t>
  </si>
  <si>
    <t>1ª COCCIÓN BAGUETTES</t>
  </si>
  <si>
    <t>2ª COCCIÓN BAGUETTES</t>
  </si>
  <si>
    <t>Costes acumulados</t>
  </si>
  <si>
    <t>Importe</t>
  </si>
  <si>
    <t>COSTES PENDIENTES DE DISTRIBUIR</t>
  </si>
  <si>
    <t>IMPORTE MENSUAL</t>
  </si>
  <si>
    <t>Catering</t>
  </si>
  <si>
    <t>Amortización edificio</t>
  </si>
  <si>
    <t>DISTRIBUCIÓN DE LAS CLASES DE COSTE</t>
  </si>
  <si>
    <t>Coste mensual</t>
  </si>
  <si>
    <t>Asignación a centros</t>
  </si>
  <si>
    <t>Directa</t>
  </si>
  <si>
    <t>Indirecta</t>
  </si>
  <si>
    <t>Total criterio</t>
  </si>
  <si>
    <t>Criterio</t>
  </si>
  <si>
    <t>Centro</t>
  </si>
  <si>
    <t>Zonas con superficie diferenciada</t>
  </si>
  <si>
    <t>Coste/criterio</t>
  </si>
  <si>
    <t>COSTE PRIMARIO</t>
  </si>
  <si>
    <t>MATRIZ COSTE INTERMEDIO O PRIMARIO</t>
  </si>
  <si>
    <t>MATRIZ TANTOS PARTICIPACIÓN</t>
  </si>
  <si>
    <t>MATRIZ (I-T)</t>
  </si>
  <si>
    <r>
      <t>MATRIZ (I-T)</t>
    </r>
    <r>
      <rPr>
        <b/>
        <vertAlign val="superscript"/>
        <sz val="14"/>
        <rFont val="Arial"/>
        <family val="2"/>
      </rPr>
      <t>-1</t>
    </r>
  </si>
  <si>
    <t>MATRIZ COSTE TOTAL</t>
  </si>
  <si>
    <t>COSTE TOTAL</t>
  </si>
  <si>
    <t>Número controles laboratorio</t>
  </si>
  <si>
    <t>Reparto lineal para Comedor</t>
  </si>
  <si>
    <t>Horas servicio técnico</t>
  </si>
  <si>
    <t>UNIDAD DE OBRA</t>
  </si>
  <si>
    <t>TOTAL UNIDAD OBRA</t>
  </si>
  <si>
    <t>Coste/unidad obra</t>
  </si>
  <si>
    <t>COSTE SECUNDARIO</t>
  </si>
  <si>
    <t xml:space="preserve">COSTE TOTAL </t>
  </si>
  <si>
    <t>REDISTRIBUCIÓN DE COSTES CENTROS AUXILIARES CONSIDERANDO TODAS LAS INTERRELACIONES</t>
  </si>
  <si>
    <t>COSTE DE LOS PRODUCTOS</t>
  </si>
  <si>
    <t>Masa integral</t>
  </si>
  <si>
    <t>Masa entera trigo congelada</t>
  </si>
  <si>
    <t>Masa integral congelada</t>
  </si>
  <si>
    <t>Bolsas</t>
  </si>
  <si>
    <t>MATERIALES DIRECTOS</t>
  </si>
  <si>
    <t>TASAS PARA IMPUTACIÓN CENTROS DE APROVISIONAMIENTO</t>
  </si>
  <si>
    <t>REPARTO DEL COSTE DE TRANSPORTE DE MATERIAS PRIMAS</t>
  </si>
  <si>
    <t>CONSUMO UNITARIO MASA DE TRIGO ENTERA</t>
  </si>
  <si>
    <t>CONSUMO TOTAL MASA TRIGO ENTERA</t>
  </si>
  <si>
    <t xml:space="preserve">PRECIO </t>
  </si>
  <si>
    <t>COSTE MASA TRIGO ENTERA</t>
  </si>
  <si>
    <t>COSTE TRANSPORTE MATERIAS PRIMAS UNIDAD PRODUCTO</t>
  </si>
  <si>
    <t>TOTAL BAGUETTES</t>
  </si>
  <si>
    <t>CONSUMO UNITARIO MASA INTEGRAL</t>
  </si>
  <si>
    <t>TOTAL MASA TRIGO ENTERA</t>
  </si>
  <si>
    <t>TOTAL MASA INTEGRAL</t>
  </si>
  <si>
    <t>TASA CENTRO TRANSPORTE MATERIAS PRIMAS</t>
  </si>
  <si>
    <t xml:space="preserve">COSTE TRANSPORTE MATERIAS PRIMAS </t>
  </si>
  <si>
    <t xml:space="preserve">BAGUETTE PRECOCIDAS CONGELADAS EMPAQUETADAS </t>
  </si>
  <si>
    <t>BAGUETTES  PRECOCIDAS SE QUEDAN EN PROCESO AL FINAL</t>
  </si>
  <si>
    <t>REPARTO DEL COSTE DE RECEPCIÓN Y CONSERVACIÓN MATERIAS PRIMAS</t>
  </si>
  <si>
    <t xml:space="preserve">COSTE RECEPCIÓN Y CONSERVACIÓN MATERIAS PRIMAS </t>
  </si>
  <si>
    <t>COSTE RECEPCIÓN Y CONSERVACIÓN MATERIAS PRIMAS UNIDAD PRODUCTO</t>
  </si>
  <si>
    <t>MOLDE SIN CORTEZA SIN EMPAQUETAR</t>
  </si>
  <si>
    <t>TASA CENTRO RECEPCIÓN Y CONSERVACIÓN MATERIAS PRIMAS</t>
  </si>
  <si>
    <t>TASAS PARA IMPUTACIÓN CENTRO MOLDEADO</t>
  </si>
  <si>
    <t>KG. masa tratada</t>
  </si>
  <si>
    <t>Masa entera</t>
  </si>
  <si>
    <t>TASA CENTRO MOLDEADO</t>
  </si>
  <si>
    <t>TOTAL MASA TRATADA</t>
  </si>
  <si>
    <t>COSTE CENTRO MOLDEADO (€)</t>
  </si>
  <si>
    <t>EQUIVALENTE</t>
  </si>
  <si>
    <t>UNITARIO</t>
  </si>
  <si>
    <t>TASAS PARA IMPUTACIÓN CENTRO HORNEADO</t>
  </si>
  <si>
    <t>CIFRA EQUIVALENCIA</t>
  </si>
  <si>
    <t>CANTIDAD MASA HORNEADA</t>
  </si>
  <si>
    <t>COSTE HORNEADO POR KG DE MASA</t>
  </si>
  <si>
    <t>TASAS PARA IMPUTACIÓN CENTRO CÁMARAS CONGELACIÓN</t>
  </si>
  <si>
    <t>BAGUETTES CONGELADAS</t>
  </si>
  <si>
    <t>COSTE CENTRO  (€)</t>
  </si>
  <si>
    <t>€/€ material masa</t>
  </si>
  <si>
    <t>€/kg. masa consumida</t>
  </si>
  <si>
    <t>€/kg masa consumida</t>
  </si>
  <si>
    <t>€/baguette congelada</t>
  </si>
  <si>
    <t>TASAS PARA IMPUTACIÓN CENTRO CORTADO</t>
  </si>
  <si>
    <t>Relación tiempo cortado/kg masa</t>
  </si>
  <si>
    <t>€/barra</t>
  </si>
  <si>
    <t>TASAS PARA IMPUTACIÓN CENTRO EMPAQUETADO</t>
  </si>
  <si>
    <t>Relación equivalencias empaquetado</t>
  </si>
  <si>
    <t>CANTIDAD EMPAQUETADA</t>
  </si>
  <si>
    <t>€/bolsa</t>
  </si>
  <si>
    <t>DETERMINACIÓN DEL COSTE DE PRODUCCIÓN DE LOS PRODUCTOS: BAGUETTE INTEGRAL, BOLSA QUE CONTIENE TRES BAGUETTES CONGELADAS, BAGUETTES, BARRA DE PAN DE MOLDE CON CORTEZA, BARRA DE PAN DE MOLDE SIN CORTEZA</t>
  </si>
  <si>
    <t>BAGUETTE PRECOCIDA CONGELADA (BC)</t>
  </si>
  <si>
    <t>CENTROS DE PRODUCCIÓN</t>
  </si>
  <si>
    <t>COSTE UNITARIO PRODUCCIÓN</t>
  </si>
  <si>
    <t>Kg./u.c. producto</t>
  </si>
  <si>
    <t>MOLDEADO</t>
  </si>
  <si>
    <t xml:space="preserve">BAGUETTES INTEGRAL </t>
  </si>
  <si>
    <t xml:space="preserve">BAGUETTES </t>
  </si>
  <si>
    <t>BARRAS MOLDE</t>
  </si>
  <si>
    <t>CONSUMO DE MASA TRIGO ENTERA CONGELADA</t>
  </si>
  <si>
    <t>CANTIDAD EQUIVALENTE</t>
  </si>
  <si>
    <t>FABRICACIÓN TERMINADA</t>
  </si>
  <si>
    <t>COSTE DE EMPAQUETADO/U.C. PRODUCTO</t>
  </si>
  <si>
    <t>COSTE CORTADO/ U.C. PRODUCTO</t>
  </si>
  <si>
    <t>CANTIDAD  PROCESADA</t>
  </si>
  <si>
    <t>MASA ENTERA</t>
  </si>
  <si>
    <t>MASA INTEGRAL</t>
  </si>
  <si>
    <t>BAGUETTES</t>
  </si>
  <si>
    <t>BARRAS  MOLDE</t>
  </si>
  <si>
    <t>BAGUETTES 2ª COCCIÓN</t>
  </si>
  <si>
    <t xml:space="preserve"> BAGUETTES  A CONGELAR</t>
  </si>
  <si>
    <t>COSTE DE CATERING</t>
  </si>
  <si>
    <t>COSTE DE  AMORTIZACIÓN DE EDIFICIOS</t>
  </si>
  <si>
    <t>COSTE PRIMARIO DEL CENTRO</t>
  </si>
  <si>
    <t>Recepción y Conservación MP</t>
  </si>
  <si>
    <t>Cámaras de congelación</t>
  </si>
  <si>
    <t>Administración</t>
  </si>
  <si>
    <t>CT LIMPIEZA</t>
  </si>
  <si>
    <t>CT LABORATORIO</t>
  </si>
  <si>
    <t>CT COMEDOR</t>
  </si>
  <si>
    <t>CT SERVICIO TÉCNICO</t>
  </si>
  <si>
    <t>RECIBE DE LIMPIEZA</t>
  </si>
  <si>
    <t>RECIBE DE LABORATORIO</t>
  </si>
  <si>
    <t>RECIBE DE COMEDOR</t>
  </si>
  <si>
    <t>RECIBE DE SERVICIO TÉCNICO</t>
  </si>
  <si>
    <t>0,5/11,5 CT LIMPIEZA</t>
  </si>
  <si>
    <t>1/7 CT COMEDOR</t>
  </si>
  <si>
    <t>50/100 CT SERVICIO TÉCNICO</t>
  </si>
  <si>
    <t>COSTE SECUNDARIO DEL CENTRO</t>
  </si>
  <si>
    <t xml:space="preserve">CRITERIO IMPUTACIÓN </t>
  </si>
  <si>
    <t>Coste de masa</t>
  </si>
  <si>
    <t>Kg de masa</t>
  </si>
  <si>
    <t>Tiempo cocción</t>
  </si>
  <si>
    <t>Nº baguettes congeladas</t>
  </si>
  <si>
    <t>Tiempo cortado</t>
  </si>
  <si>
    <t>Tiempo empaquetado</t>
  </si>
  <si>
    <t>CONSUMO TOTAL MASA INTEGRAL</t>
  </si>
  <si>
    <t>COSTE MASA INTEGRAL</t>
  </si>
  <si>
    <t>TASA CENTRO CÁMARAS</t>
  </si>
  <si>
    <t xml:space="preserve">TIEMPO TOTAL </t>
  </si>
  <si>
    <t>CIFRA EQUIVALENCIA (Tiempo unitario)</t>
  </si>
  <si>
    <t>TASA CENTRO HORNEADO</t>
  </si>
  <si>
    <t xml:space="preserve">€/minuto </t>
  </si>
  <si>
    <t>COSTE POR UNIDAD EQUIVALENTE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</si>
</sst>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(* #,##0.00_);_(* \(#,##0.00\);_(* &quot;-&quot;??_);_(@_)"/>
    <numFmt numFmtId="165" formatCode="0.0000"/>
    <numFmt numFmtId="166" formatCode="#,##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b/>
      <vertAlign val="superscript"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name val="Arial"/>
      <family val="2"/>
    </font>
    <font>
      <b/>
      <sz val="14"/>
      <color rgb="FFFFFFFF"/>
      <name val="Calibri"/>
      <family val="2"/>
    </font>
    <font>
      <sz val="14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6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  <fill>
      <gradientFill degree="90">
        <stop position="0">
          <color theme="3" tint="0.40000610370189521"/>
        </stop>
        <stop position="0.5">
          <color theme="0"/>
        </stop>
        <stop position="1">
          <color theme="3" tint="0.40000610370189521"/>
        </stop>
      </gradientFill>
    </fill>
    <fill>
      <gradientFill degree="90">
        <stop position="0">
          <color rgb="FFC00000"/>
        </stop>
        <stop position="0.5">
          <color theme="0"/>
        </stop>
        <stop position="1">
          <color rgb="FFC00000"/>
        </stop>
      </gradientFill>
    </fill>
    <fill>
      <gradientFill degree="90">
        <stop position="0">
          <color rgb="FF00B050"/>
        </stop>
        <stop position="0.5">
          <color theme="0"/>
        </stop>
        <stop position="1">
          <color rgb="FF00B050"/>
        </stop>
      </gradientFill>
    </fill>
    <fill>
      <gradientFill degree="90">
        <stop position="0">
          <color theme="9" tint="-0.25098422193060094"/>
        </stop>
        <stop position="0.5">
          <color theme="0"/>
        </stop>
        <stop position="1">
          <color theme="9" tint="-0.25098422193060094"/>
        </stop>
      </gradient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</cellStyleXfs>
  <cellXfs count="333">
    <xf numFmtId="0" fontId="0" fillId="0" borderId="0" xfId="0"/>
    <xf numFmtId="0" fontId="0" fillId="0" borderId="0" xfId="0"/>
    <xf numFmtId="4" fontId="0" fillId="0" borderId="1" xfId="1" applyNumberFormat="1" applyFont="1" applyBorder="1" applyAlignment="1">
      <alignment horizontal="center" vertical="center"/>
    </xf>
    <xf numFmtId="4" fontId="0" fillId="0" borderId="4" xfId="1" applyNumberFormat="1" applyFont="1" applyBorder="1" applyAlignment="1">
      <alignment horizontal="center" vertical="center"/>
    </xf>
    <xf numFmtId="4" fontId="0" fillId="0" borderId="7" xfId="1" applyNumberFormat="1" applyFont="1" applyBorder="1" applyAlignment="1">
      <alignment horizontal="center" vertical="center"/>
    </xf>
    <xf numFmtId="0" fontId="0" fillId="2" borderId="0" xfId="0" applyFill="1"/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2" fillId="0" borderId="14" xfId="0" applyFont="1" applyBorder="1" applyAlignment="1">
      <alignment horizontal="center" vertical="center" wrapText="1"/>
    </xf>
    <xf numFmtId="3" fontId="0" fillId="2" borderId="14" xfId="1" applyNumberFormat="1" applyFont="1" applyFill="1" applyBorder="1" applyAlignment="1">
      <alignment horizontal="right" vertical="center"/>
    </xf>
    <xf numFmtId="3" fontId="0" fillId="2" borderId="18" xfId="1" applyNumberFormat="1" applyFont="1" applyFill="1" applyBorder="1" applyAlignment="1">
      <alignment horizontal="left" vertical="center"/>
    </xf>
    <xf numFmtId="4" fontId="0" fillId="0" borderId="6" xfId="1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17" xfId="0" applyFill="1" applyBorder="1"/>
    <xf numFmtId="4" fontId="0" fillId="0" borderId="3" xfId="1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/>
    </xf>
    <xf numFmtId="3" fontId="0" fillId="0" borderId="0" xfId="0" applyNumberFormat="1"/>
    <xf numFmtId="0" fontId="0" fillId="0" borderId="0" xfId="0" applyBorder="1" applyAlignment="1">
      <alignment vertical="center"/>
    </xf>
    <xf numFmtId="4" fontId="0" fillId="0" borderId="0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0" borderId="2" xfId="1" applyNumberFormat="1" applyFont="1" applyBorder="1" applyAlignment="1">
      <alignment horizontal="center" vertical="center"/>
    </xf>
    <xf numFmtId="0" fontId="0" fillId="0" borderId="29" xfId="0" applyBorder="1"/>
    <xf numFmtId="0" fontId="0" fillId="0" borderId="22" xfId="0" applyBorder="1"/>
    <xf numFmtId="0" fontId="0" fillId="0" borderId="1" xfId="0" applyBorder="1" applyAlignment="1">
      <alignment horizontal="center" vertical="top"/>
    </xf>
    <xf numFmtId="4" fontId="0" fillId="0" borderId="0" xfId="0" applyNumberFormat="1"/>
    <xf numFmtId="0" fontId="0" fillId="0" borderId="0" xfId="0" applyFill="1" applyBorder="1"/>
    <xf numFmtId="4" fontId="0" fillId="0" borderId="1" xfId="0" applyNumberFormat="1" applyBorder="1"/>
    <xf numFmtId="0" fontId="4" fillId="2" borderId="0" xfId="0" applyFont="1" applyFill="1" applyAlignment="1">
      <alignment horizontal="center"/>
    </xf>
    <xf numFmtId="0" fontId="0" fillId="0" borderId="0" xfId="0" applyBorder="1"/>
    <xf numFmtId="4" fontId="0" fillId="0" borderId="1" xfId="0" applyNumberFormat="1" applyBorder="1" applyAlignment="1">
      <alignment horizontal="center"/>
    </xf>
    <xf numFmtId="0" fontId="2" fillId="0" borderId="1" xfId="0" applyFont="1" applyBorder="1"/>
    <xf numFmtId="0" fontId="5" fillId="0" borderId="0" xfId="2"/>
    <xf numFmtId="4" fontId="5" fillId="0" borderId="0" xfId="2" applyNumberFormat="1"/>
    <xf numFmtId="0" fontId="6" fillId="0" borderId="0" xfId="2" applyFont="1" applyBorder="1"/>
    <xf numFmtId="0" fontId="5" fillId="0" borderId="0" xfId="2" applyBorder="1"/>
    <xf numFmtId="4" fontId="5" fillId="0" borderId="1" xfId="2" applyNumberFormat="1" applyBorder="1"/>
    <xf numFmtId="0" fontId="6" fillId="0" borderId="1" xfId="2" applyFont="1" applyBorder="1"/>
    <xf numFmtId="0" fontId="5" fillId="0" borderId="1" xfId="2" applyBorder="1"/>
    <xf numFmtId="0" fontId="5" fillId="2" borderId="0" xfId="2" applyFill="1"/>
    <xf numFmtId="4" fontId="5" fillId="0" borderId="1" xfId="2" applyNumberFormat="1" applyFont="1" applyBorder="1"/>
    <xf numFmtId="0" fontId="6" fillId="0" borderId="14" xfId="2" applyFont="1" applyBorder="1"/>
    <xf numFmtId="165" fontId="5" fillId="0" borderId="1" xfId="2" applyNumberFormat="1" applyFont="1" applyBorder="1" applyAlignment="1">
      <alignment horizontal="center"/>
    </xf>
    <xf numFmtId="4" fontId="5" fillId="0" borderId="0" xfId="2" applyNumberFormat="1" applyBorder="1"/>
    <xf numFmtId="4" fontId="5" fillId="0" borderId="0" xfId="2" applyNumberFormat="1" applyFont="1" applyBorder="1"/>
    <xf numFmtId="0" fontId="2" fillId="0" borderId="5" xfId="0" applyFont="1" applyBorder="1"/>
    <xf numFmtId="0" fontId="0" fillId="0" borderId="24" xfId="0" applyBorder="1" applyAlignment="1">
      <alignment wrapText="1"/>
    </xf>
    <xf numFmtId="0" fontId="5" fillId="0" borderId="1" xfId="2" applyBorder="1" applyAlignment="1">
      <alignment wrapText="1"/>
    </xf>
    <xf numFmtId="0" fontId="2" fillId="0" borderId="16" xfId="0" applyFont="1" applyBorder="1" applyAlignment="1">
      <alignment vertical="center"/>
    </xf>
    <xf numFmtId="0" fontId="0" fillId="0" borderId="25" xfId="0" applyBorder="1" applyAlignment="1">
      <alignment wrapText="1"/>
    </xf>
    <xf numFmtId="0" fontId="0" fillId="0" borderId="32" xfId="0" applyFill="1" applyBorder="1" applyAlignment="1">
      <alignment horizontal="left" vertical="center" wrapText="1"/>
    </xf>
    <xf numFmtId="4" fontId="2" fillId="0" borderId="0" xfId="0" applyNumberFormat="1" applyFont="1" applyBorder="1"/>
    <xf numFmtId="0" fontId="6" fillId="0" borderId="1" xfId="2" applyFont="1" applyBorder="1" applyAlignment="1">
      <alignment horizontal="center"/>
    </xf>
    <xf numFmtId="4" fontId="0" fillId="0" borderId="22" xfId="0" applyNumberFormat="1" applyBorder="1"/>
    <xf numFmtId="4" fontId="2" fillId="0" borderId="23" xfId="0" applyNumberFormat="1" applyFont="1" applyBorder="1"/>
    <xf numFmtId="4" fontId="2" fillId="0" borderId="12" xfId="0" applyNumberFormat="1" applyFont="1" applyBorder="1"/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4" fontId="6" fillId="0" borderId="1" xfId="2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wrapText="1"/>
    </xf>
    <xf numFmtId="164" fontId="0" fillId="0" borderId="0" xfId="1" applyFont="1" applyFill="1" applyBorder="1"/>
    <xf numFmtId="0" fontId="0" fillId="0" borderId="36" xfId="0" applyFill="1" applyBorder="1"/>
    <xf numFmtId="0" fontId="2" fillId="0" borderId="40" xfId="0" applyFont="1" applyBorder="1" applyAlignment="1">
      <alignment horizontal="center"/>
    </xf>
    <xf numFmtId="0" fontId="2" fillId="0" borderId="45" xfId="0" applyFont="1" applyBorder="1" applyAlignment="1">
      <alignment horizontal="center" vertical="center" wrapText="1"/>
    </xf>
    <xf numFmtId="3" fontId="0" fillId="2" borderId="45" xfId="1" applyNumberFormat="1" applyFont="1" applyFill="1" applyBorder="1" applyAlignment="1">
      <alignment horizontal="right" vertical="center"/>
    </xf>
    <xf numFmtId="3" fontId="0" fillId="2" borderId="48" xfId="1" applyNumberFormat="1" applyFont="1" applyFill="1" applyBorder="1" applyAlignment="1">
      <alignment horizontal="left" vertical="center"/>
    </xf>
    <xf numFmtId="166" fontId="0" fillId="0" borderId="1" xfId="1" applyNumberFormat="1" applyFont="1" applyBorder="1" applyAlignment="1">
      <alignment horizontal="center" vertical="center"/>
    </xf>
    <xf numFmtId="0" fontId="0" fillId="0" borderId="0" xfId="0" applyBorder="1" applyAlignment="1"/>
    <xf numFmtId="0" fontId="2" fillId="2" borderId="35" xfId="0" applyFont="1" applyFill="1" applyBorder="1" applyAlignment="1"/>
    <xf numFmtId="0" fontId="0" fillId="0" borderId="11" xfId="0" applyBorder="1"/>
    <xf numFmtId="4" fontId="0" fillId="0" borderId="23" xfId="1" applyNumberFormat="1" applyFont="1" applyBorder="1" applyAlignment="1">
      <alignment horizontal="center" vertical="center"/>
    </xf>
    <xf numFmtId="166" fontId="0" fillId="0" borderId="23" xfId="1" applyNumberFormat="1" applyFont="1" applyBorder="1" applyAlignment="1">
      <alignment horizontal="center" vertical="center"/>
    </xf>
    <xf numFmtId="4" fontId="0" fillId="0" borderId="12" xfId="1" applyNumberFormat="1" applyFont="1" applyBorder="1" applyAlignment="1">
      <alignment horizontal="center" vertical="center"/>
    </xf>
    <xf numFmtId="4" fontId="0" fillId="0" borderId="18" xfId="1" applyNumberFormat="1" applyFont="1" applyBorder="1" applyAlignment="1">
      <alignment horizontal="center" vertical="center"/>
    </xf>
    <xf numFmtId="4" fontId="0" fillId="0" borderId="8" xfId="1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4" fontId="0" fillId="0" borderId="22" xfId="1" applyNumberFormat="1" applyFont="1" applyBorder="1" applyAlignment="1">
      <alignment horizontal="center" vertical="center"/>
    </xf>
    <xf numFmtId="166" fontId="0" fillId="0" borderId="22" xfId="1" applyNumberFormat="1" applyFont="1" applyBorder="1" applyAlignment="1">
      <alignment horizontal="center" vertical="center"/>
    </xf>
    <xf numFmtId="0" fontId="12" fillId="2" borderId="37" xfId="0" applyFont="1" applyFill="1" applyBorder="1" applyAlignment="1">
      <alignment horizontal="left" vertical="center" wrapText="1"/>
    </xf>
    <xf numFmtId="0" fontId="0" fillId="0" borderId="0" xfId="0" applyAlignment="1"/>
    <xf numFmtId="0" fontId="4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left"/>
    </xf>
    <xf numFmtId="0" fontId="0" fillId="2" borderId="0" xfId="0" applyFill="1" applyBorder="1" applyAlignment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164" fontId="2" fillId="2" borderId="0" xfId="1" applyFont="1" applyFill="1" applyBorder="1"/>
    <xf numFmtId="164" fontId="0" fillId="2" borderId="0" xfId="1" applyFont="1" applyFill="1" applyBorder="1"/>
    <xf numFmtId="4" fontId="0" fillId="2" borderId="0" xfId="0" applyNumberFormat="1" applyFill="1" applyBorder="1" applyAlignment="1">
      <alignment horizontal="right"/>
    </xf>
    <xf numFmtId="4" fontId="2" fillId="2" borderId="0" xfId="0" applyNumberFormat="1" applyFont="1" applyFill="1" applyBorder="1"/>
    <xf numFmtId="0" fontId="0" fillId="0" borderId="14" xfId="0" applyBorder="1" applyAlignment="1">
      <alignment horizontal="left" vertical="center" wrapText="1"/>
    </xf>
    <xf numFmtId="0" fontId="0" fillId="0" borderId="14" xfId="0" applyBorder="1" applyAlignment="1">
      <alignment horizontal="left" vertical="top"/>
    </xf>
    <xf numFmtId="4" fontId="0" fillId="2" borderId="1" xfId="0" applyNumberFormat="1" applyFill="1" applyBorder="1"/>
    <xf numFmtId="4" fontId="0" fillId="2" borderId="1" xfId="0" applyNumberFormat="1" applyFill="1" applyBorder="1" applyAlignment="1">
      <alignment horizontal="right"/>
    </xf>
    <xf numFmtId="0" fontId="2" fillId="2" borderId="0" xfId="0" applyFont="1" applyFill="1" applyBorder="1"/>
    <xf numFmtId="4" fontId="0" fillId="0" borderId="0" xfId="0" applyNumberFormat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" fontId="2" fillId="0" borderId="0" xfId="0" applyNumberFormat="1" applyFont="1"/>
    <xf numFmtId="0" fontId="2" fillId="2" borderId="21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vertical="center" wrapText="1"/>
    </xf>
    <xf numFmtId="0" fontId="2" fillId="2" borderId="46" xfId="0" applyFont="1" applyFill="1" applyBorder="1"/>
    <xf numFmtId="164" fontId="0" fillId="2" borderId="0" xfId="0" applyNumberFormat="1" applyFill="1" applyBorder="1"/>
    <xf numFmtId="0" fontId="2" fillId="2" borderId="27" xfId="0" applyFont="1" applyFill="1" applyBorder="1"/>
    <xf numFmtId="0" fontId="2" fillId="2" borderId="28" xfId="0" applyFont="1" applyFill="1" applyBorder="1" applyAlignment="1">
      <alignment wrapText="1"/>
    </xf>
    <xf numFmtId="0" fontId="2" fillId="2" borderId="28" xfId="0" applyFont="1" applyFill="1" applyBorder="1"/>
    <xf numFmtId="0" fontId="2" fillId="2" borderId="32" xfId="0" applyFont="1" applyFill="1" applyBorder="1"/>
    <xf numFmtId="4" fontId="0" fillId="2" borderId="16" xfId="1" applyNumberFormat="1" applyFont="1" applyFill="1" applyBorder="1" applyAlignment="1">
      <alignment horizontal="right"/>
    </xf>
    <xf numFmtId="4" fontId="0" fillId="2" borderId="3" xfId="1" applyNumberFormat="1" applyFont="1" applyFill="1" applyBorder="1" applyAlignment="1">
      <alignment horizontal="right"/>
    </xf>
    <xf numFmtId="4" fontId="0" fillId="2" borderId="1" xfId="1" applyNumberFormat="1" applyFont="1" applyFill="1" applyBorder="1" applyAlignment="1">
      <alignment horizontal="right" vertical="center"/>
    </xf>
    <xf numFmtId="4" fontId="0" fillId="2" borderId="1" xfId="1" applyNumberFormat="1" applyFont="1" applyFill="1" applyBorder="1" applyAlignment="1">
      <alignment horizontal="right"/>
    </xf>
    <xf numFmtId="4" fontId="0" fillId="2" borderId="4" xfId="1" applyNumberFormat="1" applyFont="1" applyFill="1" applyBorder="1" applyAlignment="1">
      <alignment horizontal="right"/>
    </xf>
    <xf numFmtId="4" fontId="0" fillId="2" borderId="5" xfId="1" applyNumberFormat="1" applyFont="1" applyFill="1" applyBorder="1" applyAlignment="1">
      <alignment horizontal="right"/>
    </xf>
    <xf numFmtId="4" fontId="0" fillId="2" borderId="6" xfId="1" applyNumberFormat="1" applyFont="1" applyFill="1" applyBorder="1" applyAlignment="1">
      <alignment horizontal="right"/>
    </xf>
    <xf numFmtId="4" fontId="0" fillId="2" borderId="20" xfId="1" applyNumberFormat="1" applyFont="1" applyFill="1" applyBorder="1" applyAlignment="1">
      <alignment horizontal="right"/>
    </xf>
    <xf numFmtId="4" fontId="0" fillId="2" borderId="1" xfId="0" applyNumberFormat="1" applyFill="1" applyBorder="1" applyAlignment="1"/>
    <xf numFmtId="4" fontId="0" fillId="2" borderId="4" xfId="0" applyNumberFormat="1" applyFill="1" applyBorder="1" applyAlignment="1"/>
    <xf numFmtId="4" fontId="0" fillId="2" borderId="5" xfId="0" applyNumberFormat="1" applyFill="1" applyBorder="1" applyAlignment="1"/>
    <xf numFmtId="4" fontId="0" fillId="2" borderId="6" xfId="0" applyNumberFormat="1" applyFill="1" applyBorder="1" applyAlignment="1"/>
    <xf numFmtId="0" fontId="0" fillId="0" borderId="14" xfId="0" applyFont="1" applyBorder="1" applyAlignment="1">
      <alignment horizontal="center"/>
    </xf>
    <xf numFmtId="0" fontId="0" fillId="0" borderId="21" xfId="0" applyBorder="1"/>
    <xf numFmtId="0" fontId="0" fillId="0" borderId="18" xfId="0" applyBorder="1"/>
    <xf numFmtId="0" fontId="0" fillId="0" borderId="46" xfId="0" applyBorder="1"/>
    <xf numFmtId="0" fontId="3" fillId="0" borderId="0" xfId="0" applyNumberFormat="1" applyFont="1" applyBorder="1" applyAlignment="1">
      <alignment horizontal="center" vertical="center" wrapText="1" readingOrder="1"/>
    </xf>
    <xf numFmtId="4" fontId="0" fillId="0" borderId="53" xfId="1" applyNumberFormat="1" applyFont="1" applyBorder="1" applyAlignment="1">
      <alignment horizontal="center" vertical="center"/>
    </xf>
    <xf numFmtId="0" fontId="0" fillId="0" borderId="40" xfId="0" applyFill="1" applyBorder="1"/>
    <xf numFmtId="0" fontId="0" fillId="0" borderId="54" xfId="0" applyFill="1" applyBorder="1"/>
    <xf numFmtId="4" fontId="0" fillId="0" borderId="25" xfId="1" applyNumberFormat="1" applyFont="1" applyBorder="1" applyAlignment="1">
      <alignment horizontal="center" vertical="center"/>
    </xf>
    <xf numFmtId="4" fontId="0" fillId="0" borderId="26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0" fillId="0" borderId="0" xfId="0" applyFont="1" applyBorder="1"/>
    <xf numFmtId="0" fontId="0" fillId="0" borderId="1" xfId="0" applyFont="1" applyBorder="1" applyAlignment="1">
      <alignment horizontal="center"/>
    </xf>
    <xf numFmtId="0" fontId="0" fillId="0" borderId="0" xfId="0" applyFont="1"/>
    <xf numFmtId="4" fontId="0" fillId="0" borderId="1" xfId="0" applyNumberFormat="1" applyFont="1" applyBorder="1" applyAlignment="1">
      <alignment horizontal="center"/>
    </xf>
    <xf numFmtId="4" fontId="0" fillId="0" borderId="0" xfId="0" applyNumberFormat="1" applyFont="1"/>
    <xf numFmtId="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4" borderId="55" xfId="0" applyFont="1" applyFill="1" applyBorder="1" applyAlignment="1">
      <alignment horizontal="left" vertical="center" wrapText="1" readingOrder="1"/>
    </xf>
    <xf numFmtId="0" fontId="14" fillId="4" borderId="55" xfId="0" applyFont="1" applyFill="1" applyBorder="1" applyAlignment="1">
      <alignment horizontal="center" vertical="center" wrapText="1" readingOrder="1"/>
    </xf>
    <xf numFmtId="0" fontId="15" fillId="5" borderId="56" xfId="0" applyFont="1" applyFill="1" applyBorder="1" applyAlignment="1">
      <alignment horizontal="left" vertical="center" wrapText="1" readingOrder="1"/>
    </xf>
    <xf numFmtId="0" fontId="13" fillId="5" borderId="56" xfId="0" applyFont="1" applyFill="1" applyBorder="1" applyAlignment="1">
      <alignment vertical="top" wrapText="1"/>
    </xf>
    <xf numFmtId="0" fontId="15" fillId="6" borderId="57" xfId="0" applyFont="1" applyFill="1" applyBorder="1" applyAlignment="1">
      <alignment horizontal="left" vertical="center" wrapText="1" readingOrder="1"/>
    </xf>
    <xf numFmtId="0" fontId="13" fillId="6" borderId="57" xfId="0" applyFont="1" applyFill="1" applyBorder="1" applyAlignment="1">
      <alignment vertical="top" wrapText="1"/>
    </xf>
    <xf numFmtId="0" fontId="15" fillId="5" borderId="57" xfId="0" applyFont="1" applyFill="1" applyBorder="1" applyAlignment="1">
      <alignment horizontal="left" vertical="center" wrapText="1" readingOrder="1"/>
    </xf>
    <xf numFmtId="0" fontId="13" fillId="5" borderId="57" xfId="0" applyFont="1" applyFill="1" applyBorder="1" applyAlignment="1">
      <alignment vertical="top" wrapText="1"/>
    </xf>
    <xf numFmtId="0" fontId="15" fillId="5" borderId="56" xfId="0" applyFont="1" applyFill="1" applyBorder="1" applyAlignment="1">
      <alignment horizontal="center" vertical="center" wrapText="1" readingOrder="1"/>
    </xf>
    <xf numFmtId="0" fontId="15" fillId="6" borderId="57" xfId="0" applyFont="1" applyFill="1" applyBorder="1" applyAlignment="1">
      <alignment horizontal="center" vertical="center" wrapText="1" readingOrder="1"/>
    </xf>
    <xf numFmtId="0" fontId="15" fillId="5" borderId="57" xfId="0" applyFont="1" applyFill="1" applyBorder="1" applyAlignment="1">
      <alignment horizontal="center" vertical="center" wrapText="1" readingOrder="1"/>
    </xf>
    <xf numFmtId="4" fontId="16" fillId="4" borderId="55" xfId="0" applyNumberFormat="1" applyFont="1" applyFill="1" applyBorder="1" applyAlignment="1">
      <alignment horizontal="center" vertical="center" wrapText="1" readingOrder="1"/>
    </xf>
    <xf numFmtId="4" fontId="16" fillId="5" borderId="56" xfId="0" applyNumberFormat="1" applyFont="1" applyFill="1" applyBorder="1" applyAlignment="1">
      <alignment horizontal="center" vertical="center" wrapText="1" readingOrder="1"/>
    </xf>
    <xf numFmtId="4" fontId="16" fillId="6" borderId="57" xfId="0" applyNumberFormat="1" applyFont="1" applyFill="1" applyBorder="1" applyAlignment="1">
      <alignment horizontal="center" vertical="center" wrapText="1" readingOrder="1"/>
    </xf>
    <xf numFmtId="4" fontId="16" fillId="5" borderId="57" xfId="0" applyNumberFormat="1" applyFont="1" applyFill="1" applyBorder="1" applyAlignment="1">
      <alignment horizontal="center" vertical="center" wrapText="1" readingOrder="1"/>
    </xf>
    <xf numFmtId="0" fontId="16" fillId="6" borderId="57" xfId="0" applyFont="1" applyFill="1" applyBorder="1" applyAlignment="1">
      <alignment horizontal="center" vertical="center" wrapText="1" readingOrder="1"/>
    </xf>
    <xf numFmtId="4" fontId="17" fillId="4" borderId="55" xfId="0" applyNumberFormat="1" applyFont="1" applyFill="1" applyBorder="1" applyAlignment="1">
      <alignment horizontal="center" vertical="center" wrapText="1" readingOrder="1"/>
    </xf>
    <xf numFmtId="2" fontId="5" fillId="0" borderId="1" xfId="2" applyNumberFormat="1" applyFont="1" applyBorder="1" applyAlignment="1">
      <alignment horizontal="center"/>
    </xf>
    <xf numFmtId="4" fontId="5" fillId="0" borderId="14" xfId="2" applyNumberFormat="1" applyFont="1" applyBorder="1" applyAlignment="1">
      <alignment horizontal="center"/>
    </xf>
    <xf numFmtId="2" fontId="5" fillId="0" borderId="4" xfId="2" applyNumberFormat="1" applyFont="1" applyBorder="1" applyAlignment="1">
      <alignment horizontal="center"/>
    </xf>
    <xf numFmtId="0" fontId="5" fillId="0" borderId="28" xfId="2" applyNumberFormat="1" applyFont="1" applyBorder="1" applyAlignment="1">
      <alignment horizontal="center"/>
    </xf>
    <xf numFmtId="165" fontId="5" fillId="0" borderId="4" xfId="2" applyNumberFormat="1" applyFont="1" applyBorder="1" applyAlignment="1">
      <alignment horizontal="center"/>
    </xf>
    <xf numFmtId="0" fontId="5" fillId="0" borderId="32" xfId="2" applyNumberFormat="1" applyFont="1" applyBorder="1" applyAlignment="1">
      <alignment horizontal="center"/>
    </xf>
    <xf numFmtId="2" fontId="5" fillId="0" borderId="5" xfId="2" applyNumberFormat="1" applyFont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2" fontId="5" fillId="0" borderId="6" xfId="2" applyNumberFormat="1" applyFont="1" applyBorder="1" applyAlignment="1">
      <alignment horizontal="center"/>
    </xf>
    <xf numFmtId="0" fontId="6" fillId="0" borderId="14" xfId="2" applyFont="1" applyBorder="1" applyAlignment="1">
      <alignment horizontal="center" wrapText="1"/>
    </xf>
    <xf numFmtId="0" fontId="6" fillId="8" borderId="27" xfId="2" applyFont="1" applyFill="1" applyBorder="1" applyAlignment="1">
      <alignment horizontal="center" vertical="center" wrapText="1"/>
    </xf>
    <xf numFmtId="0" fontId="6" fillId="7" borderId="16" xfId="2" applyFont="1" applyFill="1" applyBorder="1" applyAlignment="1">
      <alignment horizontal="center" vertical="center" wrapText="1"/>
    </xf>
    <xf numFmtId="0" fontId="6" fillId="10" borderId="16" xfId="2" applyFont="1" applyFill="1" applyBorder="1" applyAlignment="1">
      <alignment horizontal="center" vertical="center" wrapText="1"/>
    </xf>
    <xf numFmtId="0" fontId="6" fillId="9" borderId="3" xfId="2" applyFont="1" applyFill="1" applyBorder="1" applyAlignment="1">
      <alignment horizontal="center" vertical="center" wrapText="1"/>
    </xf>
    <xf numFmtId="2" fontId="5" fillId="0" borderId="28" xfId="2" applyNumberFormat="1" applyFont="1" applyBorder="1" applyAlignment="1">
      <alignment horizontal="center"/>
    </xf>
    <xf numFmtId="4" fontId="0" fillId="0" borderId="48" xfId="1" applyNumberFormat="1" applyFont="1" applyBorder="1" applyAlignment="1">
      <alignment horizontal="center" vertical="center"/>
    </xf>
    <xf numFmtId="4" fontId="0" fillId="0" borderId="52" xfId="1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/>
    </xf>
    <xf numFmtId="0" fontId="12" fillId="2" borderId="25" xfId="0" applyFont="1" applyFill="1" applyBorder="1" applyAlignment="1">
      <alignment horizontal="left" vertical="center" wrapText="1"/>
    </xf>
    <xf numFmtId="0" fontId="12" fillId="2" borderId="26" xfId="0" applyFont="1" applyFill="1" applyBorder="1" applyAlignment="1">
      <alignment horizontal="left" vertical="center" wrapText="1"/>
    </xf>
    <xf numFmtId="0" fontId="18" fillId="5" borderId="56" xfId="0" applyFont="1" applyFill="1" applyBorder="1" applyAlignment="1">
      <alignment horizontal="center" vertical="center" wrapText="1"/>
    </xf>
    <xf numFmtId="0" fontId="18" fillId="6" borderId="57" xfId="0" applyFont="1" applyFill="1" applyBorder="1" applyAlignment="1">
      <alignment horizontal="center" vertical="center" wrapText="1"/>
    </xf>
    <xf numFmtId="0" fontId="18" fillId="5" borderId="57" xfId="0" applyFont="1" applyFill="1" applyBorder="1" applyAlignment="1">
      <alignment horizontal="center" vertical="center" wrapText="1"/>
    </xf>
    <xf numFmtId="164" fontId="0" fillId="0" borderId="59" xfId="1" applyFont="1" applyFill="1" applyBorder="1"/>
    <xf numFmtId="0" fontId="0" fillId="0" borderId="1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3" fontId="7" fillId="12" borderId="40" xfId="2" applyNumberFormat="1" applyFont="1" applyFill="1" applyBorder="1" applyAlignment="1">
      <alignment horizontal="center" vertical="center"/>
    </xf>
    <xf numFmtId="0" fontId="2" fillId="0" borderId="41" xfId="0" applyFont="1" applyFill="1" applyBorder="1"/>
    <xf numFmtId="4" fontId="2" fillId="0" borderId="44" xfId="0" applyNumberFormat="1" applyFont="1" applyFill="1" applyBorder="1"/>
    <xf numFmtId="4" fontId="2" fillId="0" borderId="38" xfId="0" applyNumberFormat="1" applyFont="1" applyFill="1" applyBorder="1"/>
    <xf numFmtId="0" fontId="0" fillId="0" borderId="0" xfId="0" applyFill="1"/>
    <xf numFmtId="0" fontId="2" fillId="0" borderId="1" xfId="0" applyFont="1" applyFill="1" applyBorder="1"/>
    <xf numFmtId="0" fontId="0" fillId="0" borderId="1" xfId="0" applyFill="1" applyBorder="1"/>
    <xf numFmtId="4" fontId="0" fillId="0" borderId="1" xfId="0" applyNumberFormat="1" applyFill="1" applyBorder="1"/>
    <xf numFmtId="4" fontId="0" fillId="0" borderId="0" xfId="0" applyNumberFormat="1" applyFill="1"/>
    <xf numFmtId="0" fontId="2" fillId="0" borderId="22" xfId="0" applyFont="1" applyFill="1" applyBorder="1"/>
    <xf numFmtId="0" fontId="0" fillId="0" borderId="22" xfId="0" applyFill="1" applyBorder="1"/>
    <xf numFmtId="4" fontId="0" fillId="0" borderId="22" xfId="0" applyNumberFormat="1" applyFill="1" applyBorder="1"/>
    <xf numFmtId="4" fontId="2" fillId="0" borderId="1" xfId="0" applyNumberFormat="1" applyFont="1" applyFill="1" applyBorder="1"/>
    <xf numFmtId="0" fontId="11" fillId="0" borderId="1" xfId="0" applyFont="1" applyFill="1" applyBorder="1"/>
    <xf numFmtId="4" fontId="10" fillId="0" borderId="1" xfId="0" applyNumberFormat="1" applyFont="1" applyFill="1" applyBorder="1"/>
    <xf numFmtId="4" fontId="19" fillId="2" borderId="23" xfId="1" applyNumberFormat="1" applyFont="1" applyFill="1" applyBorder="1" applyAlignment="1">
      <alignment horizontal="center" vertical="center"/>
    </xf>
    <xf numFmtId="4" fontId="19" fillId="2" borderId="49" xfId="1" applyNumberFormat="1" applyFont="1" applyFill="1" applyBorder="1" applyAlignment="1">
      <alignment horizontal="center" vertical="center"/>
    </xf>
    <xf numFmtId="4" fontId="19" fillId="2" borderId="8" xfId="1" applyNumberFormat="1" applyFont="1" applyFill="1" applyBorder="1" applyAlignment="1">
      <alignment horizontal="center" vertical="center"/>
    </xf>
    <xf numFmtId="4" fontId="19" fillId="2" borderId="34" xfId="1" applyNumberFormat="1" applyFont="1" applyFill="1" applyBorder="1" applyAlignment="1">
      <alignment horizontal="center" vertical="center"/>
    </xf>
    <xf numFmtId="4" fontId="12" fillId="2" borderId="0" xfId="1" applyNumberFormat="1" applyFont="1" applyFill="1" applyBorder="1" applyAlignment="1">
      <alignment horizontal="center" vertical="center"/>
    </xf>
    <xf numFmtId="0" fontId="12" fillId="2" borderId="0" xfId="0" applyFont="1" applyFill="1"/>
    <xf numFmtId="4" fontId="2" fillId="2" borderId="23" xfId="1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/>
    <xf numFmtId="166" fontId="2" fillId="2" borderId="34" xfId="1" applyNumberFormat="1" applyFont="1" applyFill="1" applyBorder="1" applyAlignment="1">
      <alignment horizontal="center" vertical="center"/>
    </xf>
    <xf numFmtId="0" fontId="2" fillId="2" borderId="8" xfId="0" applyFont="1" applyFill="1" applyBorder="1"/>
    <xf numFmtId="164" fontId="2" fillId="2" borderId="9" xfId="1" applyFont="1" applyFill="1" applyBorder="1"/>
    <xf numFmtId="164" fontId="0" fillId="2" borderId="8" xfId="1" applyFont="1" applyFill="1" applyBorder="1"/>
    <xf numFmtId="4" fontId="2" fillId="2" borderId="9" xfId="1" applyNumberFormat="1" applyFont="1" applyFill="1" applyBorder="1" applyAlignment="1">
      <alignment horizontal="center" vertical="center"/>
    </xf>
    <xf numFmtId="4" fontId="2" fillId="2" borderId="10" xfId="1" applyNumberFormat="1" applyFont="1" applyFill="1" applyBorder="1" applyAlignment="1">
      <alignment horizontal="center" vertical="center"/>
    </xf>
    <xf numFmtId="164" fontId="0" fillId="2" borderId="9" xfId="1" applyFont="1" applyFill="1" applyBorder="1"/>
    <xf numFmtId="164" fontId="2" fillId="2" borderId="8" xfId="1" applyFont="1" applyFill="1" applyBorder="1"/>
    <xf numFmtId="4" fontId="2" fillId="2" borderId="10" xfId="1" applyNumberFormat="1" applyFont="1" applyFill="1" applyBorder="1" applyAlignment="1">
      <alignment horizontal="left" vertical="center"/>
    </xf>
    <xf numFmtId="164" fontId="2" fillId="2" borderId="10" xfId="1" applyFont="1" applyFill="1" applyBorder="1"/>
    <xf numFmtId="0" fontId="2" fillId="2" borderId="11" xfId="0" applyFont="1" applyFill="1" applyBorder="1"/>
    <xf numFmtId="2" fontId="2" fillId="2" borderId="23" xfId="0" applyNumberFormat="1" applyFont="1" applyFill="1" applyBorder="1"/>
    <xf numFmtId="2" fontId="2" fillId="2" borderId="12" xfId="0" applyNumberFormat="1" applyFont="1" applyFill="1" applyBorder="1"/>
    <xf numFmtId="164" fontId="2" fillId="2" borderId="50" xfId="1" applyFont="1" applyFill="1" applyBorder="1"/>
    <xf numFmtId="4" fontId="2" fillId="2" borderId="51" xfId="1" applyNumberFormat="1" applyFont="1" applyFill="1" applyBorder="1" applyAlignment="1">
      <alignment horizontal="left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/>
    </xf>
    <xf numFmtId="0" fontId="2" fillId="11" borderId="43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/>
    </xf>
    <xf numFmtId="0" fontId="2" fillId="11" borderId="49" xfId="0" applyFont="1" applyFill="1" applyBorder="1" applyAlignment="1">
      <alignment horizontal="center" vertical="center" wrapText="1"/>
    </xf>
    <xf numFmtId="164" fontId="2" fillId="11" borderId="11" xfId="1" applyFont="1" applyFill="1" applyBorder="1" applyAlignment="1">
      <alignment horizontal="center" vertical="center"/>
    </xf>
    <xf numFmtId="164" fontId="2" fillId="11" borderId="12" xfId="1" applyFont="1" applyFill="1" applyBorder="1" applyAlignment="1">
      <alignment horizontal="center" vertical="center" wrapText="1"/>
    </xf>
    <xf numFmtId="0" fontId="2" fillId="11" borderId="15" xfId="0" applyFont="1" applyFill="1" applyBorder="1" applyAlignment="1">
      <alignment horizontal="center" vertical="center" wrapText="1"/>
    </xf>
    <xf numFmtId="0" fontId="2" fillId="11" borderId="38" xfId="0" applyFont="1" applyFill="1" applyBorder="1" applyAlignment="1">
      <alignment horizontal="center" vertical="center"/>
    </xf>
    <xf numFmtId="0" fontId="2" fillId="11" borderId="38" xfId="0" applyFont="1" applyFill="1" applyBorder="1" applyAlignment="1">
      <alignment horizontal="center" wrapText="1"/>
    </xf>
    <xf numFmtId="164" fontId="2" fillId="11" borderId="38" xfId="1" applyFont="1" applyFill="1" applyBorder="1" applyAlignment="1">
      <alignment horizontal="center" vertical="center"/>
    </xf>
    <xf numFmtId="164" fontId="2" fillId="11" borderId="39" xfId="1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 wrapText="1"/>
    </xf>
    <xf numFmtId="164" fontId="2" fillId="11" borderId="23" xfId="1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/>
    </xf>
    <xf numFmtId="4" fontId="2" fillId="0" borderId="23" xfId="1" applyNumberFormat="1" applyFont="1" applyFill="1" applyBorder="1" applyAlignment="1">
      <alignment horizontal="center" vertical="center"/>
    </xf>
    <xf numFmtId="4" fontId="2" fillId="0" borderId="49" xfId="1" applyNumberFormat="1" applyFont="1" applyFill="1" applyBorder="1" applyAlignment="1">
      <alignment horizontal="center" vertical="center"/>
    </xf>
    <xf numFmtId="4" fontId="2" fillId="0" borderId="34" xfId="1" applyNumberFormat="1" applyFont="1" applyFill="1" applyBorder="1" applyAlignment="1">
      <alignment horizontal="center" vertical="center"/>
    </xf>
    <xf numFmtId="4" fontId="0" fillId="0" borderId="0" xfId="1" applyNumberFormat="1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/>
    </xf>
    <xf numFmtId="0" fontId="2" fillId="11" borderId="34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left"/>
    </xf>
    <xf numFmtId="0" fontId="2" fillId="11" borderId="12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/>
    </xf>
    <xf numFmtId="0" fontId="2" fillId="11" borderId="12" xfId="0" applyFont="1" applyFill="1" applyBorder="1" applyAlignment="1">
      <alignment horizontal="center"/>
    </xf>
    <xf numFmtId="0" fontId="2" fillId="11" borderId="8" xfId="0" applyFont="1" applyFill="1" applyBorder="1" applyAlignment="1">
      <alignment horizontal="center"/>
    </xf>
    <xf numFmtId="0" fontId="2" fillId="11" borderId="15" xfId="0" applyFont="1" applyFill="1" applyBorder="1" applyAlignment="1">
      <alignment horizontal="center" vertical="center"/>
    </xf>
    <xf numFmtId="0" fontId="2" fillId="11" borderId="38" xfId="0" applyFont="1" applyFill="1" applyBorder="1" applyAlignment="1">
      <alignment horizontal="center" vertical="center" wrapText="1"/>
    </xf>
    <xf numFmtId="0" fontId="2" fillId="11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11" borderId="11" xfId="0" applyFont="1" applyFill="1" applyBorder="1" applyAlignment="1">
      <alignment horizontal="center" vertical="center"/>
    </xf>
    <xf numFmtId="4" fontId="0" fillId="0" borderId="16" xfId="1" applyNumberFormat="1" applyFont="1" applyFill="1" applyBorder="1" applyAlignment="1">
      <alignment horizontal="right"/>
    </xf>
    <xf numFmtId="0" fontId="2" fillId="11" borderId="8" xfId="0" applyFont="1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2" fillId="11" borderId="8" xfId="0" applyFont="1" applyFill="1" applyBorder="1" applyAlignment="1">
      <alignment horizontal="left"/>
    </xf>
    <xf numFmtId="0" fontId="0" fillId="11" borderId="10" xfId="0" applyFill="1" applyBorder="1" applyAlignment="1">
      <alignment horizontal="left"/>
    </xf>
    <xf numFmtId="0" fontId="2" fillId="11" borderId="8" xfId="0" applyFont="1" applyFill="1" applyBorder="1" applyAlignment="1">
      <alignment horizontal="center" wrapText="1"/>
    </xf>
    <xf numFmtId="0" fontId="0" fillId="11" borderId="10" xfId="0" applyFill="1" applyBorder="1" applyAlignment="1">
      <alignment horizontal="center" wrapText="1"/>
    </xf>
    <xf numFmtId="0" fontId="2" fillId="11" borderId="8" xfId="0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0" fillId="11" borderId="10" xfId="0" applyFill="1" applyBorder="1" applyAlignment="1">
      <alignment vertical="center"/>
    </xf>
    <xf numFmtId="0" fontId="2" fillId="11" borderId="20" xfId="0" applyFont="1" applyFill="1" applyBorder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0" fillId="11" borderId="43" xfId="0" applyFill="1" applyBorder="1" applyAlignment="1">
      <alignment horizontal="center" vertical="center"/>
    </xf>
    <xf numFmtId="0" fontId="2" fillId="11" borderId="49" xfId="0" applyFont="1" applyFill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 wrapText="1" readingOrder="1"/>
    </xf>
    <xf numFmtId="0" fontId="3" fillId="0" borderId="19" xfId="0" applyNumberFormat="1" applyFont="1" applyBorder="1" applyAlignment="1">
      <alignment horizontal="center" vertical="center" wrapText="1" readingOrder="1"/>
    </xf>
    <xf numFmtId="0" fontId="0" fillId="0" borderId="19" xfId="0" applyBorder="1" applyAlignment="1">
      <alignment horizontal="center" vertical="center" wrapText="1" readingOrder="1"/>
    </xf>
    <xf numFmtId="0" fontId="2" fillId="11" borderId="1" xfId="0" applyFont="1" applyFill="1" applyBorder="1" applyAlignment="1">
      <alignment horizontal="left" wrapText="1"/>
    </xf>
    <xf numFmtId="0" fontId="0" fillId="11" borderId="1" xfId="0" applyFill="1" applyBorder="1" applyAlignment="1"/>
    <xf numFmtId="0" fontId="0" fillId="0" borderId="14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 vertical="center" wrapText="1" readingOrder="1"/>
    </xf>
    <xf numFmtId="0" fontId="19" fillId="11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11" borderId="0" xfId="2" applyFont="1" applyFill="1" applyAlignment="1">
      <alignment horizontal="center"/>
    </xf>
    <xf numFmtId="0" fontId="0" fillId="11" borderId="0" xfId="0" applyFill="1" applyAlignment="1">
      <alignment horizontal="center"/>
    </xf>
    <xf numFmtId="0" fontId="19" fillId="11" borderId="0" xfId="0" applyFont="1" applyFill="1" applyAlignment="1">
      <alignment horizontal="left"/>
    </xf>
    <xf numFmtId="0" fontId="12" fillId="11" borderId="0" xfId="0" applyFont="1" applyFill="1" applyAlignment="1"/>
    <xf numFmtId="0" fontId="2" fillId="11" borderId="9" xfId="0" applyFont="1" applyFill="1" applyBorder="1" applyAlignment="1">
      <alignment horizontal="center"/>
    </xf>
    <xf numFmtId="0" fontId="0" fillId="11" borderId="9" xfId="0" applyFill="1" applyBorder="1" applyAlignment="1"/>
    <xf numFmtId="0" fontId="0" fillId="11" borderId="10" xfId="0" applyFill="1" applyBorder="1" applyAlignment="1"/>
    <xf numFmtId="0" fontId="2" fillId="11" borderId="9" xfId="0" applyFont="1" applyFill="1" applyBorder="1" applyAlignment="1"/>
    <xf numFmtId="0" fontId="2" fillId="11" borderId="10" xfId="0" applyFont="1" applyFill="1" applyBorder="1" applyAlignment="1"/>
    <xf numFmtId="0" fontId="2" fillId="0" borderId="8" xfId="0" applyFont="1" applyFill="1" applyBorder="1" applyAlignment="1"/>
    <xf numFmtId="0" fontId="0" fillId="0" borderId="9" xfId="0" applyFill="1" applyBorder="1" applyAlignment="1"/>
    <xf numFmtId="0" fontId="0" fillId="0" borderId="43" xfId="0" applyFill="1" applyBorder="1" applyAlignment="1"/>
    <xf numFmtId="0" fontId="2" fillId="2" borderId="8" xfId="0" applyFont="1" applyFill="1" applyBorder="1" applyAlignment="1"/>
    <xf numFmtId="0" fontId="0" fillId="2" borderId="9" xfId="0" applyFill="1" applyBorder="1" applyAlignment="1"/>
    <xf numFmtId="0" fontId="0" fillId="2" borderId="43" xfId="0" applyFill="1" applyBorder="1" applyAlignment="1"/>
    <xf numFmtId="166" fontId="2" fillId="2" borderId="9" xfId="1" applyNumberFormat="1" applyFont="1" applyFill="1" applyBorder="1" applyAlignment="1">
      <alignment horizontal="center" vertical="center"/>
    </xf>
    <xf numFmtId="0" fontId="0" fillId="2" borderId="10" xfId="0" applyFill="1" applyBorder="1" applyAlignment="1"/>
    <xf numFmtId="0" fontId="2" fillId="0" borderId="58" xfId="0" applyFont="1" applyFill="1" applyBorder="1" applyAlignment="1">
      <alignment horizontal="center"/>
    </xf>
    <xf numFmtId="0" fontId="2" fillId="0" borderId="41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19" fillId="2" borderId="8" xfId="0" applyFont="1" applyFill="1" applyBorder="1" applyAlignment="1"/>
    <xf numFmtId="0" fontId="12" fillId="2" borderId="9" xfId="0" applyFont="1" applyFill="1" applyBorder="1" applyAlignment="1"/>
    <xf numFmtId="0" fontId="12" fillId="2" borderId="43" xfId="0" applyFont="1" applyFill="1" applyBorder="1" applyAlignment="1"/>
    <xf numFmtId="4" fontId="2" fillId="11" borderId="1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vertical="center" wrapText="1"/>
    </xf>
    <xf numFmtId="4" fontId="2" fillId="11" borderId="31" xfId="0" applyNumberFormat="1" applyFont="1" applyFill="1" applyBorder="1" applyAlignment="1">
      <alignment horizontal="center" vertical="center" wrapText="1"/>
    </xf>
    <xf numFmtId="0" fontId="2" fillId="11" borderId="52" xfId="0" applyFont="1" applyFill="1" applyBorder="1" applyAlignment="1"/>
    <xf numFmtId="0" fontId="2" fillId="11" borderId="45" xfId="0" applyFont="1" applyFill="1" applyBorder="1" applyAlignment="1">
      <alignment vertical="center" wrapText="1"/>
    </xf>
    <xf numFmtId="0" fontId="2" fillId="11" borderId="48" xfId="0" applyFont="1" applyFill="1" applyBorder="1" applyAlignment="1"/>
    <xf numFmtId="164" fontId="2" fillId="11" borderId="8" xfId="1" applyFont="1" applyFill="1" applyBorder="1" applyAlignment="1">
      <alignment horizontal="center"/>
    </xf>
    <xf numFmtId="0" fontId="0" fillId="0" borderId="42" xfId="0" applyBorder="1" applyAlignment="1"/>
    <xf numFmtId="0" fontId="0" fillId="0" borderId="47" xfId="0" applyBorder="1" applyAlignment="1"/>
    <xf numFmtId="0" fontId="0" fillId="11" borderId="52" xfId="0" applyFill="1" applyBorder="1" applyAlignment="1"/>
    <xf numFmtId="0" fontId="0" fillId="11" borderId="48" xfId="0" applyFill="1" applyBorder="1" applyAlignment="1"/>
    <xf numFmtId="4" fontId="2" fillId="2" borderId="0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</cellXfs>
  <cellStyles count="4">
    <cellStyle name="Millares 2" xfId="1"/>
    <cellStyle name="Millares 3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"/>
  <sheetViews>
    <sheetView topLeftCell="A85" zoomScaleNormal="100" workbookViewId="0">
      <selection activeCell="B11" sqref="B11"/>
    </sheetView>
  </sheetViews>
  <sheetFormatPr baseColWidth="10" defaultRowHeight="15" x14ac:dyDescent="0.25"/>
  <cols>
    <col min="1" max="1" width="26.140625" customWidth="1"/>
    <col min="2" max="2" width="22.140625" customWidth="1"/>
    <col min="3" max="3" width="13.140625" style="1" customWidth="1"/>
    <col min="4" max="4" width="17" customWidth="1"/>
    <col min="5" max="5" width="9.7109375" customWidth="1"/>
    <col min="8" max="8" width="43" customWidth="1"/>
    <col min="9" max="9" width="26.5703125" customWidth="1"/>
    <col min="10" max="10" width="36.7109375" customWidth="1"/>
    <col min="11" max="11" width="26.42578125" customWidth="1"/>
    <col min="12" max="12" width="18.85546875" customWidth="1"/>
    <col min="19" max="19" width="13" customWidth="1"/>
  </cols>
  <sheetData>
    <row r="1" spans="1:9" ht="15.75" thickBot="1" x14ac:dyDescent="0.3"/>
    <row r="2" spans="1:9" ht="15.75" thickBot="1" x14ac:dyDescent="0.3">
      <c r="A2" s="275" t="s">
        <v>0</v>
      </c>
      <c r="B2" s="276"/>
      <c r="C2" s="276"/>
      <c r="D2" s="276"/>
      <c r="E2" s="277"/>
    </row>
    <row r="3" spans="1:9" s="1" customFormat="1" x14ac:dyDescent="0.25">
      <c r="A3" s="253" t="s">
        <v>4</v>
      </c>
      <c r="B3" s="278" t="s">
        <v>166</v>
      </c>
      <c r="C3" s="279"/>
      <c r="D3" s="278" t="s">
        <v>6</v>
      </c>
      <c r="E3" s="279"/>
    </row>
    <row r="4" spans="1:9" x14ac:dyDescent="0.25">
      <c r="A4" s="17" t="s">
        <v>1</v>
      </c>
      <c r="B4" s="10">
        <v>10000</v>
      </c>
      <c r="C4" s="11" t="s">
        <v>7</v>
      </c>
      <c r="D4" s="10">
        <v>10000</v>
      </c>
      <c r="E4" s="11" t="s">
        <v>7</v>
      </c>
    </row>
    <row r="5" spans="1:9" ht="30" x14ac:dyDescent="0.25">
      <c r="A5" s="9" t="s">
        <v>156</v>
      </c>
      <c r="B5" s="10">
        <v>5000</v>
      </c>
      <c r="C5" s="11" t="s">
        <v>8</v>
      </c>
      <c r="D5" s="10">
        <v>5000</v>
      </c>
      <c r="E5" s="11" t="s">
        <v>8</v>
      </c>
    </row>
    <row r="6" spans="1:9" x14ac:dyDescent="0.25">
      <c r="A6" s="9" t="s">
        <v>2</v>
      </c>
      <c r="B6" s="10">
        <v>5000</v>
      </c>
      <c r="C6" s="11" t="s">
        <v>7</v>
      </c>
      <c r="D6" s="10">
        <v>5000</v>
      </c>
      <c r="E6" s="11" t="s">
        <v>7</v>
      </c>
    </row>
    <row r="7" spans="1:9" ht="30" x14ac:dyDescent="0.25">
      <c r="A7" s="9" t="s">
        <v>3</v>
      </c>
      <c r="B7" s="10">
        <v>5200</v>
      </c>
      <c r="C7" s="11" t="s">
        <v>9</v>
      </c>
      <c r="D7" s="10">
        <v>4200</v>
      </c>
      <c r="E7" s="11" t="s">
        <v>9</v>
      </c>
    </row>
    <row r="8" spans="1:9" ht="30" x14ac:dyDescent="0.25">
      <c r="A8" s="9" t="s">
        <v>44</v>
      </c>
      <c r="B8" s="10">
        <v>6000</v>
      </c>
      <c r="C8" s="11" t="s">
        <v>9</v>
      </c>
      <c r="D8" s="10">
        <v>5500</v>
      </c>
      <c r="E8" s="11" t="s">
        <v>9</v>
      </c>
    </row>
    <row r="9" spans="1:9" ht="15.75" thickBot="1" x14ac:dyDescent="0.3">
      <c r="A9" s="5"/>
      <c r="B9" s="5"/>
      <c r="C9" s="5"/>
      <c r="D9" s="5"/>
    </row>
    <row r="10" spans="1:9" s="1" customFormat="1" ht="15.75" thickBot="1" x14ac:dyDescent="0.3">
      <c r="A10" s="254" t="s">
        <v>4</v>
      </c>
      <c r="B10" s="275" t="s">
        <v>5</v>
      </c>
      <c r="C10" s="281"/>
      <c r="D10" s="282" t="s">
        <v>116</v>
      </c>
      <c r="E10" s="280"/>
    </row>
    <row r="11" spans="1:9" s="1" customFormat="1" ht="30" x14ac:dyDescent="0.25">
      <c r="A11" s="65" t="s">
        <v>10</v>
      </c>
      <c r="B11" s="66">
        <v>5000</v>
      </c>
      <c r="C11" s="67" t="s">
        <v>8</v>
      </c>
      <c r="D11" s="66">
        <f>B11*3</f>
        <v>15000</v>
      </c>
      <c r="E11" s="67"/>
    </row>
    <row r="12" spans="1:9" s="1" customFormat="1" x14ac:dyDescent="0.25">
      <c r="A12" s="5"/>
      <c r="B12" s="5"/>
      <c r="C12" s="5"/>
      <c r="D12" s="5"/>
    </row>
    <row r="13" spans="1:9" s="1" customFormat="1" ht="15.75" thickBot="1" x14ac:dyDescent="0.3">
      <c r="A13" s="5"/>
      <c r="B13" s="5"/>
      <c r="C13" s="5"/>
      <c r="D13" s="5"/>
    </row>
    <row r="14" spans="1:9" ht="15.75" thickBot="1" x14ac:dyDescent="0.3">
      <c r="G14" s="1"/>
      <c r="H14" s="259" t="s">
        <v>42</v>
      </c>
      <c r="I14" s="260" t="s">
        <v>43</v>
      </c>
    </row>
    <row r="15" spans="1:9" s="1" customFormat="1" ht="15.75" thickBot="1" x14ac:dyDescent="0.3">
      <c r="A15" s="273" t="s">
        <v>25</v>
      </c>
      <c r="B15" s="274"/>
      <c r="G15" s="283" t="s">
        <v>40</v>
      </c>
      <c r="H15" s="8" t="s">
        <v>26</v>
      </c>
      <c r="I15" s="4">
        <v>1800</v>
      </c>
    </row>
    <row r="16" spans="1:9" s="1" customFormat="1" ht="15.75" customHeight="1" x14ac:dyDescent="0.25">
      <c r="A16" s="253" t="s">
        <v>24</v>
      </c>
      <c r="B16" s="253" t="s">
        <v>17</v>
      </c>
      <c r="G16" s="284"/>
      <c r="H16" s="7" t="s">
        <v>27</v>
      </c>
      <c r="I16" s="3">
        <v>2000</v>
      </c>
    </row>
    <row r="17" spans="1:9" s="1" customFormat="1" x14ac:dyDescent="0.25">
      <c r="A17" s="119" t="s">
        <v>1</v>
      </c>
      <c r="B17" s="2">
        <v>600</v>
      </c>
      <c r="G17" s="284"/>
      <c r="H17" s="6" t="s">
        <v>28</v>
      </c>
      <c r="I17" s="3">
        <v>4500</v>
      </c>
    </row>
    <row r="18" spans="1:9" s="1" customFormat="1" ht="15.75" thickBot="1" x14ac:dyDescent="0.3">
      <c r="G18" s="284"/>
      <c r="H18" s="6" t="s">
        <v>29</v>
      </c>
      <c r="I18" s="3">
        <v>6000</v>
      </c>
    </row>
    <row r="19" spans="1:9" s="1" customFormat="1" ht="15.75" thickBot="1" x14ac:dyDescent="0.3">
      <c r="A19" s="271" t="s">
        <v>164</v>
      </c>
      <c r="B19" s="272"/>
      <c r="C19" s="14"/>
      <c r="D19" s="14"/>
      <c r="G19" s="285"/>
      <c r="H19" s="7" t="s">
        <v>33</v>
      </c>
      <c r="I19" s="3">
        <v>1950</v>
      </c>
    </row>
    <row r="20" spans="1:9" s="1" customFormat="1" x14ac:dyDescent="0.25">
      <c r="A20" s="253" t="s">
        <v>24</v>
      </c>
      <c r="B20" s="253" t="s">
        <v>159</v>
      </c>
      <c r="G20" s="285"/>
      <c r="H20" s="15" t="s">
        <v>31</v>
      </c>
      <c r="I20" s="3">
        <v>2800</v>
      </c>
    </row>
    <row r="21" spans="1:9" s="1" customFormat="1" x14ac:dyDescent="0.25">
      <c r="A21" s="13" t="s">
        <v>22</v>
      </c>
      <c r="B21" s="2">
        <v>0.08</v>
      </c>
      <c r="G21" s="285"/>
      <c r="H21" s="7" t="s">
        <v>35</v>
      </c>
      <c r="I21" s="3">
        <v>3200</v>
      </c>
    </row>
    <row r="22" spans="1:9" s="1" customFormat="1" x14ac:dyDescent="0.25">
      <c r="A22" s="13" t="s">
        <v>23</v>
      </c>
      <c r="B22" s="2">
        <v>0.15</v>
      </c>
      <c r="G22" s="285"/>
      <c r="H22" s="7" t="s">
        <v>37</v>
      </c>
      <c r="I22" s="3">
        <v>2000</v>
      </c>
    </row>
    <row r="23" spans="1:9" s="1" customFormat="1" ht="15.75" thickBot="1" x14ac:dyDescent="0.3">
      <c r="A23" s="19"/>
      <c r="B23" s="20"/>
      <c r="G23" s="285"/>
      <c r="H23" s="7" t="s">
        <v>38</v>
      </c>
      <c r="I23" s="3">
        <v>4500</v>
      </c>
    </row>
    <row r="24" spans="1:9" s="1" customFormat="1" ht="15.75" thickBot="1" x14ac:dyDescent="0.3">
      <c r="A24" s="275" t="s">
        <v>160</v>
      </c>
      <c r="B24" s="280"/>
      <c r="G24" s="285"/>
      <c r="H24" s="25" t="s">
        <v>39</v>
      </c>
      <c r="I24" s="124">
        <v>3500</v>
      </c>
    </row>
    <row r="25" spans="1:9" s="1" customFormat="1" x14ac:dyDescent="0.25">
      <c r="A25" s="253" t="s">
        <v>50</v>
      </c>
      <c r="B25" s="253" t="s">
        <v>47</v>
      </c>
      <c r="F25" s="31"/>
      <c r="G25" s="283" t="s">
        <v>41</v>
      </c>
      <c r="H25" s="120" t="s">
        <v>30</v>
      </c>
      <c r="I25" s="16">
        <v>2000</v>
      </c>
    </row>
    <row r="26" spans="1:9" s="1" customFormat="1" x14ac:dyDescent="0.25">
      <c r="A26" s="7" t="s">
        <v>170</v>
      </c>
      <c r="B26" s="2">
        <f>B96</f>
        <v>4140</v>
      </c>
      <c r="F26" s="31"/>
      <c r="G26" s="285"/>
      <c r="H26" s="121" t="s">
        <v>32</v>
      </c>
      <c r="I26" s="3">
        <v>2000</v>
      </c>
    </row>
    <row r="27" spans="1:9" s="1" customFormat="1" x14ac:dyDescent="0.25">
      <c r="A27" s="7" t="s">
        <v>171</v>
      </c>
      <c r="B27" s="2">
        <f>B17</f>
        <v>600</v>
      </c>
      <c r="F27" s="31"/>
      <c r="G27" s="285"/>
      <c r="H27" s="121" t="s">
        <v>34</v>
      </c>
      <c r="I27" s="3">
        <v>500</v>
      </c>
    </row>
    <row r="28" spans="1:9" s="1" customFormat="1" ht="15.75" thickBot="1" x14ac:dyDescent="0.3">
      <c r="A28" s="253" t="s">
        <v>51</v>
      </c>
      <c r="B28" s="253" t="s">
        <v>47</v>
      </c>
      <c r="F28" s="31"/>
      <c r="G28" s="291"/>
      <c r="H28" s="122" t="s">
        <v>36</v>
      </c>
      <c r="I28" s="12">
        <v>3000</v>
      </c>
    </row>
    <row r="29" spans="1:9" s="1" customFormat="1" x14ac:dyDescent="0.25">
      <c r="A29" s="22" t="s">
        <v>163</v>
      </c>
      <c r="B29" s="2">
        <v>11600</v>
      </c>
      <c r="F29" s="31"/>
      <c r="G29" s="123"/>
    </row>
    <row r="30" spans="1:9" s="1" customFormat="1" ht="15.75" thickBot="1" x14ac:dyDescent="0.3">
      <c r="A30" s="21" t="s">
        <v>161</v>
      </c>
      <c r="B30" s="2">
        <v>10000</v>
      </c>
      <c r="F30" s="31"/>
      <c r="G30" s="123"/>
    </row>
    <row r="31" spans="1:9" s="1" customFormat="1" ht="15.75" thickBot="1" x14ac:dyDescent="0.3">
      <c r="A31" s="22" t="s">
        <v>162</v>
      </c>
      <c r="B31" s="2">
        <v>30000</v>
      </c>
      <c r="F31" s="31"/>
      <c r="G31" s="123"/>
      <c r="H31" s="261" t="s">
        <v>73</v>
      </c>
      <c r="I31" s="254" t="s">
        <v>74</v>
      </c>
    </row>
    <row r="32" spans="1:9" s="1" customFormat="1" ht="15.75" thickBot="1" x14ac:dyDescent="0.3">
      <c r="H32" s="125" t="s">
        <v>75</v>
      </c>
      <c r="I32" s="127">
        <f>24000/12</f>
        <v>2000</v>
      </c>
    </row>
    <row r="33" spans="1:9" s="1" customFormat="1" ht="15.75" thickBot="1" x14ac:dyDescent="0.3">
      <c r="A33" s="275" t="s">
        <v>46</v>
      </c>
      <c r="B33" s="280"/>
      <c r="H33" s="126" t="s">
        <v>76</v>
      </c>
      <c r="I33" s="128">
        <v>575</v>
      </c>
    </row>
    <row r="34" spans="1:9" s="1" customFormat="1" x14ac:dyDescent="0.25">
      <c r="A34" s="253" t="s">
        <v>50</v>
      </c>
      <c r="B34" s="253" t="s">
        <v>47</v>
      </c>
    </row>
    <row r="35" spans="1:9" s="1" customFormat="1" x14ac:dyDescent="0.25">
      <c r="A35" s="7" t="s">
        <v>161</v>
      </c>
      <c r="B35" s="2">
        <f>B4</f>
        <v>10000</v>
      </c>
    </row>
    <row r="36" spans="1:9" s="1" customFormat="1" x14ac:dyDescent="0.25">
      <c r="A36" s="7" t="s">
        <v>172</v>
      </c>
      <c r="B36" s="2">
        <f>B31</f>
        <v>30000</v>
      </c>
    </row>
    <row r="37" spans="1:9" s="1" customFormat="1" x14ac:dyDescent="0.25">
      <c r="A37" s="8" t="s">
        <v>173</v>
      </c>
      <c r="B37" s="23">
        <f>B29</f>
        <v>11600</v>
      </c>
    </row>
    <row r="38" spans="1:9" s="1" customFormat="1" x14ac:dyDescent="0.25">
      <c r="A38" s="8" t="s">
        <v>174</v>
      </c>
      <c r="B38" s="23">
        <f>B6</f>
        <v>5000</v>
      </c>
    </row>
    <row r="39" spans="1:9" s="1" customFormat="1" x14ac:dyDescent="0.25">
      <c r="A39" s="253" t="s">
        <v>51</v>
      </c>
      <c r="B39" s="253" t="s">
        <v>47</v>
      </c>
    </row>
    <row r="40" spans="1:9" s="1" customFormat="1" x14ac:dyDescent="0.25">
      <c r="A40" s="21" t="s">
        <v>1</v>
      </c>
      <c r="B40" s="2">
        <f>B4</f>
        <v>10000</v>
      </c>
    </row>
    <row r="41" spans="1:9" s="1" customFormat="1" x14ac:dyDescent="0.25">
      <c r="A41" s="26" t="s">
        <v>175</v>
      </c>
      <c r="B41" s="2">
        <f>B36</f>
        <v>30000</v>
      </c>
    </row>
    <row r="42" spans="1:9" s="1" customFormat="1" ht="15.6" customHeight="1" x14ac:dyDescent="0.25">
      <c r="A42" s="22" t="s">
        <v>2</v>
      </c>
      <c r="B42" s="2">
        <f>B6</f>
        <v>5000</v>
      </c>
    </row>
    <row r="43" spans="1:9" s="1" customFormat="1" ht="15.6" customHeight="1" thickBot="1" x14ac:dyDescent="0.3">
      <c r="A43" s="22" t="s">
        <v>173</v>
      </c>
      <c r="B43" s="2">
        <f>B37</f>
        <v>11600</v>
      </c>
    </row>
    <row r="44" spans="1:9" s="1" customFormat="1" ht="15.6" customHeight="1" thickBot="1" x14ac:dyDescent="0.3">
      <c r="A44" s="275" t="s">
        <v>46</v>
      </c>
      <c r="B44" s="280"/>
    </row>
    <row r="45" spans="1:9" s="1" customFormat="1" ht="15.6" customHeight="1" x14ac:dyDescent="0.25">
      <c r="A45" s="255" t="s">
        <v>65</v>
      </c>
      <c r="B45" s="256" t="s">
        <v>66</v>
      </c>
    </row>
    <row r="46" spans="1:9" s="1" customFormat="1" ht="15.6" customHeight="1" x14ac:dyDescent="0.25">
      <c r="A46" s="21" t="s">
        <v>1</v>
      </c>
      <c r="B46" s="2">
        <v>18</v>
      </c>
    </row>
    <row r="47" spans="1:9" s="1" customFormat="1" ht="15.6" customHeight="1" x14ac:dyDescent="0.25">
      <c r="A47" s="26" t="s">
        <v>69</v>
      </c>
      <c r="B47" s="2">
        <v>10</v>
      </c>
    </row>
    <row r="48" spans="1:9" s="1" customFormat="1" ht="15.6" customHeight="1" x14ac:dyDescent="0.25">
      <c r="A48" s="21" t="s">
        <v>70</v>
      </c>
      <c r="B48" s="2">
        <v>5</v>
      </c>
    </row>
    <row r="49" spans="1:4" s="1" customFormat="1" ht="15.6" customHeight="1" x14ac:dyDescent="0.25">
      <c r="A49" s="21" t="s">
        <v>67</v>
      </c>
      <c r="B49" s="2">
        <v>20</v>
      </c>
    </row>
    <row r="50" spans="1:4" s="1" customFormat="1" ht="15.6" customHeight="1" thickBot="1" x14ac:dyDescent="0.3">
      <c r="A50" s="19"/>
      <c r="B50" s="20"/>
    </row>
    <row r="51" spans="1:4" s="1" customFormat="1" ht="15.75" thickBot="1" x14ac:dyDescent="0.3">
      <c r="A51" s="275" t="s">
        <v>54</v>
      </c>
      <c r="B51" s="280"/>
    </row>
    <row r="52" spans="1:4" s="1" customFormat="1" x14ac:dyDescent="0.25">
      <c r="A52" s="253" t="s">
        <v>50</v>
      </c>
      <c r="B52" s="253" t="s">
        <v>47</v>
      </c>
    </row>
    <row r="53" spans="1:4" s="1" customFormat="1" x14ac:dyDescent="0.25">
      <c r="A53" s="22" t="s">
        <v>68</v>
      </c>
      <c r="B53" s="2">
        <v>30000</v>
      </c>
    </row>
    <row r="54" spans="1:4" s="1" customFormat="1" x14ac:dyDescent="0.25">
      <c r="A54" s="253" t="s">
        <v>51</v>
      </c>
      <c r="B54" s="253" t="s">
        <v>47</v>
      </c>
    </row>
    <row r="55" spans="1:4" s="1" customFormat="1" ht="30" x14ac:dyDescent="0.25">
      <c r="A55" s="21" t="s">
        <v>52</v>
      </c>
      <c r="B55" s="2">
        <f>B6</f>
        <v>5000</v>
      </c>
    </row>
    <row r="56" spans="1:4" s="1" customFormat="1" ht="30" x14ac:dyDescent="0.25">
      <c r="A56" s="21" t="s">
        <v>53</v>
      </c>
      <c r="B56" s="2">
        <f>B53/2</f>
        <v>15000</v>
      </c>
    </row>
    <row r="57" spans="1:4" s="1" customFormat="1" ht="15.75" thickBot="1" x14ac:dyDescent="0.3">
      <c r="A57" s="19"/>
      <c r="B57" s="20"/>
    </row>
    <row r="58" spans="1:4" s="1" customFormat="1" ht="15.75" thickBot="1" x14ac:dyDescent="0.3">
      <c r="A58" s="275" t="s">
        <v>55</v>
      </c>
      <c r="B58" s="280"/>
    </row>
    <row r="59" spans="1:4" s="1" customFormat="1" x14ac:dyDescent="0.25">
      <c r="A59" s="253" t="s">
        <v>50</v>
      </c>
      <c r="B59" s="253" t="s">
        <v>47</v>
      </c>
    </row>
    <row r="60" spans="1:4" s="1" customFormat="1" x14ac:dyDescent="0.25">
      <c r="A60" s="21" t="s">
        <v>48</v>
      </c>
      <c r="B60" s="2">
        <v>11600</v>
      </c>
    </row>
    <row r="61" spans="1:4" s="1" customFormat="1" ht="15" customHeight="1" x14ac:dyDescent="0.25">
      <c r="A61" s="253" t="s">
        <v>51</v>
      </c>
      <c r="B61" s="253" t="s">
        <v>47</v>
      </c>
      <c r="C61" s="286" t="s">
        <v>149</v>
      </c>
      <c r="D61" s="287"/>
    </row>
    <row r="62" spans="1:4" s="1" customFormat="1" ht="30" x14ac:dyDescent="0.25">
      <c r="A62" s="21" t="s">
        <v>56</v>
      </c>
      <c r="B62" s="2">
        <v>6400</v>
      </c>
      <c r="C62" s="288">
        <v>1</v>
      </c>
      <c r="D62" s="289"/>
    </row>
    <row r="63" spans="1:4" s="1" customFormat="1" ht="30" x14ac:dyDescent="0.25">
      <c r="A63" s="21" t="s">
        <v>57</v>
      </c>
      <c r="B63" s="2">
        <f>B60-B62</f>
        <v>5200</v>
      </c>
      <c r="C63" s="288">
        <f>50%*C62</f>
        <v>0.5</v>
      </c>
      <c r="D63" s="289">
        <f>0.6*C62</f>
        <v>0.6</v>
      </c>
    </row>
    <row r="64" spans="1:4" s="1" customFormat="1" hidden="1" x14ac:dyDescent="0.25">
      <c r="A64" s="19"/>
      <c r="B64" s="20"/>
    </row>
    <row r="65" spans="1:9" s="1" customFormat="1" ht="11.25" hidden="1" customHeight="1" x14ac:dyDescent="0.25">
      <c r="A65" s="19"/>
      <c r="B65" s="20"/>
    </row>
    <row r="66" spans="1:9" s="1" customFormat="1" hidden="1" x14ac:dyDescent="0.25">
      <c r="A66" s="19"/>
      <c r="B66" s="20"/>
    </row>
    <row r="67" spans="1:9" s="1" customFormat="1" hidden="1" x14ac:dyDescent="0.25">
      <c r="A67" s="19"/>
      <c r="B67" s="20"/>
    </row>
    <row r="68" spans="1:9" s="1" customFormat="1" hidden="1" x14ac:dyDescent="0.25">
      <c r="A68" s="19"/>
      <c r="B68" s="20"/>
    </row>
    <row r="69" spans="1:9" s="1" customFormat="1" hidden="1" x14ac:dyDescent="0.25">
      <c r="A69" s="19"/>
      <c r="B69" s="20"/>
    </row>
    <row r="70" spans="1:9" s="1" customFormat="1" hidden="1" x14ac:dyDescent="0.25">
      <c r="A70" s="19"/>
      <c r="B70" s="20"/>
    </row>
    <row r="71" spans="1:9" s="1" customFormat="1" hidden="1" x14ac:dyDescent="0.25">
      <c r="A71" s="19"/>
      <c r="B71" s="20"/>
    </row>
    <row r="72" spans="1:9" s="1" customFormat="1" hidden="1" x14ac:dyDescent="0.25">
      <c r="A72" s="19"/>
      <c r="B72" s="20"/>
    </row>
    <row r="73" spans="1:9" s="1" customFormat="1" ht="15.75" thickBot="1" x14ac:dyDescent="0.3">
      <c r="A73" s="19"/>
      <c r="B73" s="20"/>
    </row>
    <row r="74" spans="1:9" s="1" customFormat="1" ht="15.75" thickBot="1" x14ac:dyDescent="0.3">
      <c r="A74" s="275" t="s">
        <v>58</v>
      </c>
      <c r="B74" s="280"/>
    </row>
    <row r="75" spans="1:9" s="1" customFormat="1" x14ac:dyDescent="0.25">
      <c r="A75" s="253" t="s">
        <v>50</v>
      </c>
      <c r="B75" s="253" t="s">
        <v>47</v>
      </c>
    </row>
    <row r="76" spans="1:9" s="1" customFormat="1" ht="30" x14ac:dyDescent="0.25">
      <c r="A76" s="21" t="s">
        <v>59</v>
      </c>
      <c r="B76" s="2">
        <f>5000*3</f>
        <v>15000</v>
      </c>
    </row>
    <row r="77" spans="1:9" s="1" customFormat="1" ht="30" x14ac:dyDescent="0.25">
      <c r="A77" s="21" t="s">
        <v>56</v>
      </c>
      <c r="B77" s="23">
        <f>B62</f>
        <v>6400</v>
      </c>
      <c r="H77"/>
      <c r="I77"/>
    </row>
    <row r="78" spans="1:9" s="1" customFormat="1" ht="30" x14ac:dyDescent="0.25">
      <c r="A78" s="21" t="s">
        <v>57</v>
      </c>
      <c r="B78" s="23">
        <v>5200</v>
      </c>
    </row>
    <row r="79" spans="1:9" s="1" customFormat="1" x14ac:dyDescent="0.25">
      <c r="A79" s="253" t="s">
        <v>51</v>
      </c>
      <c r="B79" s="253" t="s">
        <v>47</v>
      </c>
      <c r="C79" s="257" t="s">
        <v>152</v>
      </c>
      <c r="D79" s="248"/>
      <c r="E79" s="248"/>
    </row>
    <row r="80" spans="1:9" s="1" customFormat="1" ht="30" x14ac:dyDescent="0.25">
      <c r="A80" s="21" t="s">
        <v>60</v>
      </c>
      <c r="B80" s="2">
        <v>5000</v>
      </c>
      <c r="C80" s="290">
        <f>80%*C81</f>
        <v>4</v>
      </c>
      <c r="D80" s="290"/>
      <c r="E80" s="290"/>
    </row>
    <row r="81" spans="1:16" s="1" customFormat="1" ht="45" x14ac:dyDescent="0.25">
      <c r="A81" s="21" t="s">
        <v>62</v>
      </c>
      <c r="B81" s="2">
        <v>6000</v>
      </c>
      <c r="C81" s="290">
        <v>5</v>
      </c>
      <c r="D81" s="290"/>
      <c r="E81" s="290"/>
    </row>
    <row r="82" spans="1:16" s="1" customFormat="1" ht="45" x14ac:dyDescent="0.25">
      <c r="A82" s="21" t="s">
        <v>61</v>
      </c>
      <c r="B82" s="2">
        <v>5200</v>
      </c>
      <c r="C82" s="290">
        <v>3</v>
      </c>
      <c r="D82" s="290"/>
      <c r="E82" s="290"/>
    </row>
    <row r="83" spans="1:16" s="1" customFormat="1" x14ac:dyDescent="0.25">
      <c r="A83" s="19"/>
      <c r="B83" s="20"/>
    </row>
    <row r="84" spans="1:16" ht="15.75" thickBot="1" x14ac:dyDescent="0.3">
      <c r="H84" s="1"/>
      <c r="I84" s="1"/>
    </row>
    <row r="85" spans="1:16" s="1" customFormat="1" ht="60.75" thickBot="1" x14ac:dyDescent="0.3">
      <c r="A85"/>
      <c r="B85" s="245" t="s">
        <v>26</v>
      </c>
      <c r="C85" s="246" t="s">
        <v>63</v>
      </c>
      <c r="D85" s="246" t="s">
        <v>28</v>
      </c>
      <c r="E85" s="246" t="s">
        <v>29</v>
      </c>
      <c r="F85" s="246" t="s">
        <v>33</v>
      </c>
      <c r="G85" s="246" t="s">
        <v>31</v>
      </c>
      <c r="H85" s="246" t="s">
        <v>35</v>
      </c>
      <c r="I85" s="246" t="s">
        <v>37</v>
      </c>
      <c r="J85" s="246" t="s">
        <v>38</v>
      </c>
      <c r="K85" s="246" t="s">
        <v>39</v>
      </c>
      <c r="L85" s="246" t="s">
        <v>30</v>
      </c>
      <c r="M85" s="246" t="s">
        <v>32</v>
      </c>
      <c r="N85" s="246" t="s">
        <v>34</v>
      </c>
      <c r="O85" s="246" t="s">
        <v>36</v>
      </c>
      <c r="P85" s="258" t="s">
        <v>64</v>
      </c>
    </row>
    <row r="86" spans="1:16" s="1" customFormat="1" ht="30" x14ac:dyDescent="0.25">
      <c r="A86" s="48" t="s">
        <v>85</v>
      </c>
      <c r="B86" s="181">
        <v>1</v>
      </c>
      <c r="C86" s="182">
        <v>1</v>
      </c>
      <c r="D86" s="182">
        <v>1</v>
      </c>
      <c r="E86" s="182">
        <v>1</v>
      </c>
      <c r="F86" s="182">
        <v>1</v>
      </c>
      <c r="G86" s="182">
        <v>1</v>
      </c>
      <c r="H86" s="182">
        <v>1</v>
      </c>
      <c r="I86" s="182">
        <v>1</v>
      </c>
      <c r="J86" s="182">
        <v>1</v>
      </c>
      <c r="K86" s="182">
        <v>1</v>
      </c>
      <c r="L86" s="182">
        <v>0</v>
      </c>
      <c r="M86" s="182">
        <v>0.5</v>
      </c>
      <c r="N86" s="182">
        <v>0.5</v>
      </c>
      <c r="O86" s="183">
        <v>0.5</v>
      </c>
      <c r="P86" s="184">
        <f>SUM(B86:O86)</f>
        <v>11.5</v>
      </c>
    </row>
    <row r="87" spans="1:16" s="1" customFormat="1" ht="30" x14ac:dyDescent="0.25">
      <c r="A87" s="51" t="s">
        <v>94</v>
      </c>
      <c r="B87" s="185"/>
      <c r="C87" s="22"/>
      <c r="D87" s="22">
        <v>8</v>
      </c>
      <c r="E87" s="22">
        <v>50</v>
      </c>
      <c r="F87" s="22">
        <v>2</v>
      </c>
      <c r="G87" s="22">
        <v>20</v>
      </c>
      <c r="H87" s="22">
        <v>15</v>
      </c>
      <c r="I87" s="22">
        <v>5</v>
      </c>
      <c r="J87" s="22"/>
      <c r="K87" s="22"/>
      <c r="L87" s="22"/>
      <c r="M87" s="22"/>
      <c r="N87" s="22"/>
      <c r="O87" s="180"/>
      <c r="P87" s="186">
        <f>SUM(B87:O87)</f>
        <v>100</v>
      </c>
    </row>
    <row r="88" spans="1:16" s="1" customFormat="1" x14ac:dyDescent="0.25">
      <c r="A88" s="24" t="s">
        <v>96</v>
      </c>
      <c r="B88" s="187"/>
      <c r="C88" s="188"/>
      <c r="D88" s="188">
        <v>80</v>
      </c>
      <c r="E88" s="188">
        <v>100</v>
      </c>
      <c r="F88" s="188">
        <v>20</v>
      </c>
      <c r="G88" s="188">
        <v>100</v>
      </c>
      <c r="H88" s="188">
        <v>100</v>
      </c>
      <c r="I88" s="188"/>
      <c r="J88" s="188"/>
      <c r="K88" s="188"/>
      <c r="L88" s="188"/>
      <c r="M88" s="188">
        <v>50</v>
      </c>
      <c r="N88" s="188"/>
      <c r="O88" s="189"/>
      <c r="P88" s="186">
        <f>SUM(B88:O88)</f>
        <v>450</v>
      </c>
    </row>
    <row r="89" spans="1:16" s="1" customFormat="1" ht="30.75" thickBot="1" x14ac:dyDescent="0.3">
      <c r="A89" s="52" t="s">
        <v>95</v>
      </c>
      <c r="B89" s="190"/>
      <c r="C89" s="190"/>
      <c r="D89" s="191">
        <v>1</v>
      </c>
      <c r="E89" s="191">
        <v>1</v>
      </c>
      <c r="F89" s="191"/>
      <c r="G89" s="191">
        <v>1</v>
      </c>
      <c r="H89" s="191">
        <v>1</v>
      </c>
      <c r="I89" s="190"/>
      <c r="J89" s="190"/>
      <c r="K89" s="190"/>
      <c r="L89" s="190">
        <v>1</v>
      </c>
      <c r="M89" s="190">
        <v>1</v>
      </c>
      <c r="N89" s="190"/>
      <c r="O89" s="192">
        <v>1</v>
      </c>
      <c r="P89" s="193">
        <f>SUM(B89:O89)</f>
        <v>7</v>
      </c>
    </row>
    <row r="90" spans="1:16" s="1" customFormat="1" x14ac:dyDescent="0.25">
      <c r="H90"/>
      <c r="I90"/>
    </row>
    <row r="91" spans="1:16" s="1" customFormat="1" ht="15.75" thickBot="1" x14ac:dyDescent="0.3">
      <c r="H91"/>
      <c r="I91"/>
    </row>
    <row r="92" spans="1:16" ht="15.75" thickBot="1" x14ac:dyDescent="0.3">
      <c r="A92" s="268" t="s">
        <v>45</v>
      </c>
      <c r="B92" s="269"/>
      <c r="C92" s="269"/>
      <c r="D92" s="270"/>
    </row>
    <row r="93" spans="1:16" x14ac:dyDescent="0.25">
      <c r="A93" s="253" t="s">
        <v>11</v>
      </c>
      <c r="B93" s="253" t="s">
        <v>17</v>
      </c>
      <c r="C93" s="253" t="s">
        <v>18</v>
      </c>
      <c r="D93" s="253" t="s">
        <v>12</v>
      </c>
    </row>
    <row r="94" spans="1:16" x14ac:dyDescent="0.25">
      <c r="A94" s="13" t="s">
        <v>13</v>
      </c>
      <c r="B94" s="2">
        <v>1000</v>
      </c>
      <c r="C94" s="2">
        <v>0.5</v>
      </c>
      <c r="D94" s="2">
        <f>+B94*C94</f>
        <v>500</v>
      </c>
    </row>
    <row r="95" spans="1:16" x14ac:dyDescent="0.25">
      <c r="A95" s="13" t="s">
        <v>14</v>
      </c>
      <c r="B95" s="2">
        <v>5000</v>
      </c>
      <c r="C95" s="2">
        <v>0.8</v>
      </c>
      <c r="D95" s="2">
        <f t="shared" ref="D95:D97" si="0">+B95*C95</f>
        <v>4000</v>
      </c>
    </row>
    <row r="96" spans="1:16" x14ac:dyDescent="0.25">
      <c r="A96" s="7" t="s">
        <v>15</v>
      </c>
      <c r="B96" s="2">
        <v>4140</v>
      </c>
      <c r="C96" s="2">
        <f>(D94+D95)/(B94+B95)</f>
        <v>0.75</v>
      </c>
      <c r="D96" s="2">
        <f t="shared" si="0"/>
        <v>3105</v>
      </c>
    </row>
    <row r="97" spans="1:10" x14ac:dyDescent="0.25">
      <c r="A97" s="7" t="s">
        <v>16</v>
      </c>
      <c r="B97" s="2">
        <f>B94+B95-B96</f>
        <v>1860</v>
      </c>
      <c r="C97" s="2">
        <f>C96</f>
        <v>0.75</v>
      </c>
      <c r="D97" s="2">
        <f t="shared" si="0"/>
        <v>1395</v>
      </c>
    </row>
    <row r="98" spans="1:10" ht="15.75" thickBot="1" x14ac:dyDescent="0.3"/>
    <row r="99" spans="1:10" ht="15.75" thickBot="1" x14ac:dyDescent="0.3">
      <c r="A99" s="268" t="s">
        <v>19</v>
      </c>
      <c r="B99" s="269"/>
      <c r="C99" s="269"/>
      <c r="D99" s="270"/>
    </row>
    <row r="100" spans="1:10" x14ac:dyDescent="0.25">
      <c r="A100" s="253" t="s">
        <v>11</v>
      </c>
      <c r="B100" s="253" t="s">
        <v>17</v>
      </c>
      <c r="C100" s="253" t="s">
        <v>18</v>
      </c>
      <c r="D100" s="253" t="s">
        <v>12</v>
      </c>
    </row>
    <row r="101" spans="1:10" x14ac:dyDescent="0.25">
      <c r="A101" s="13" t="s">
        <v>13</v>
      </c>
      <c r="B101" s="2">
        <v>0</v>
      </c>
      <c r="C101" s="2">
        <v>0</v>
      </c>
      <c r="D101" s="2">
        <f>+B101*C101</f>
        <v>0</v>
      </c>
    </row>
    <row r="102" spans="1:10" x14ac:dyDescent="0.25">
      <c r="A102" s="13" t="s">
        <v>14</v>
      </c>
      <c r="B102" s="2">
        <v>1200</v>
      </c>
      <c r="C102" s="2">
        <v>0.8</v>
      </c>
      <c r="D102" s="2">
        <f t="shared" ref="D102:D104" si="1">+B102*C102</f>
        <v>960</v>
      </c>
    </row>
    <row r="103" spans="1:10" x14ac:dyDescent="0.25">
      <c r="A103" s="7" t="s">
        <v>15</v>
      </c>
      <c r="B103" s="2">
        <v>600</v>
      </c>
      <c r="C103" s="2">
        <f>(D101+D102)/(B101+B102)</f>
        <v>0.8</v>
      </c>
      <c r="D103" s="2">
        <f t="shared" si="1"/>
        <v>480</v>
      </c>
    </row>
    <row r="104" spans="1:10" x14ac:dyDescent="0.25">
      <c r="A104" s="7" t="s">
        <v>16</v>
      </c>
      <c r="B104" s="2">
        <f>B101+B102-B103</f>
        <v>600</v>
      </c>
      <c r="C104" s="2">
        <f>C103</f>
        <v>0.8</v>
      </c>
      <c r="D104" s="2">
        <f t="shared" si="1"/>
        <v>480</v>
      </c>
    </row>
    <row r="105" spans="1:10" ht="15.75" thickBot="1" x14ac:dyDescent="0.3"/>
    <row r="106" spans="1:10" ht="15.75" thickBot="1" x14ac:dyDescent="0.3">
      <c r="A106" s="268" t="s">
        <v>20</v>
      </c>
      <c r="B106" s="269"/>
      <c r="C106" s="269"/>
      <c r="D106" s="270"/>
    </row>
    <row r="107" spans="1:10" x14ac:dyDescent="0.25">
      <c r="A107" s="253" t="s">
        <v>11</v>
      </c>
      <c r="B107" s="253" t="s">
        <v>17</v>
      </c>
      <c r="C107" s="253" t="s">
        <v>18</v>
      </c>
      <c r="D107" s="253" t="s">
        <v>12</v>
      </c>
    </row>
    <row r="108" spans="1:10" x14ac:dyDescent="0.25">
      <c r="A108" s="13" t="s">
        <v>13</v>
      </c>
      <c r="B108" s="2">
        <v>0</v>
      </c>
      <c r="C108" s="2">
        <v>0</v>
      </c>
      <c r="D108" s="2">
        <f>+B108*C108</f>
        <v>0</v>
      </c>
      <c r="J108" s="18"/>
    </row>
    <row r="109" spans="1:10" x14ac:dyDescent="0.25">
      <c r="A109" s="13" t="s">
        <v>14</v>
      </c>
      <c r="B109" s="2">
        <v>12000</v>
      </c>
      <c r="C109" s="2">
        <v>0.05</v>
      </c>
      <c r="D109" s="2">
        <f t="shared" ref="D109:D111" si="2">+B109*C109</f>
        <v>600</v>
      </c>
    </row>
    <row r="110" spans="1:10" x14ac:dyDescent="0.25">
      <c r="A110" s="7" t="s">
        <v>15</v>
      </c>
      <c r="B110" s="2">
        <v>11200</v>
      </c>
      <c r="C110" s="2">
        <f>(D108+D109)/(B108+B109)</f>
        <v>0.05</v>
      </c>
      <c r="D110" s="2">
        <f t="shared" si="2"/>
        <v>560</v>
      </c>
    </row>
    <row r="111" spans="1:10" x14ac:dyDescent="0.25">
      <c r="A111" s="7" t="s">
        <v>16</v>
      </c>
      <c r="B111" s="2">
        <f>B108+B109-B110</f>
        <v>800</v>
      </c>
      <c r="C111" s="2">
        <f>C110</f>
        <v>0.05</v>
      </c>
      <c r="D111" s="2">
        <f t="shared" si="2"/>
        <v>40</v>
      </c>
    </row>
    <row r="112" spans="1:10" ht="15.75" thickBot="1" x14ac:dyDescent="0.3"/>
    <row r="113" spans="1:4" ht="15.75" thickBot="1" x14ac:dyDescent="0.3">
      <c r="A113" s="268" t="s">
        <v>21</v>
      </c>
      <c r="B113" s="269"/>
      <c r="C113" s="269"/>
      <c r="D113" s="270"/>
    </row>
    <row r="114" spans="1:4" x14ac:dyDescent="0.25">
      <c r="A114" s="253" t="s">
        <v>11</v>
      </c>
      <c r="B114" s="253" t="s">
        <v>17</v>
      </c>
      <c r="C114" s="253" t="s">
        <v>18</v>
      </c>
      <c r="D114" s="253" t="s">
        <v>12</v>
      </c>
    </row>
    <row r="115" spans="1:4" x14ac:dyDescent="0.25">
      <c r="A115" s="13" t="s">
        <v>13</v>
      </c>
      <c r="B115" s="2">
        <v>0</v>
      </c>
      <c r="C115" s="2">
        <v>0</v>
      </c>
      <c r="D115" s="2">
        <f>+B115*C115</f>
        <v>0</v>
      </c>
    </row>
    <row r="116" spans="1:4" x14ac:dyDescent="0.25">
      <c r="A116" s="13" t="s">
        <v>14</v>
      </c>
      <c r="B116" s="2">
        <v>6000</v>
      </c>
      <c r="C116" s="2">
        <v>0.01</v>
      </c>
      <c r="D116" s="2">
        <f t="shared" ref="D116:D118" si="3">+B116*C116</f>
        <v>60</v>
      </c>
    </row>
    <row r="117" spans="1:4" x14ac:dyDescent="0.25">
      <c r="A117" s="7" t="s">
        <v>15</v>
      </c>
      <c r="B117" s="2">
        <v>5000</v>
      </c>
      <c r="C117" s="2">
        <f>(D115+D116)/(B115+B116)</f>
        <v>0.01</v>
      </c>
      <c r="D117" s="2">
        <f t="shared" si="3"/>
        <v>50</v>
      </c>
    </row>
    <row r="118" spans="1:4" x14ac:dyDescent="0.25">
      <c r="A118" s="7" t="s">
        <v>16</v>
      </c>
      <c r="B118" s="2">
        <f>B115+B116-B117</f>
        <v>1000</v>
      </c>
      <c r="C118" s="2">
        <f>C117</f>
        <v>0.01</v>
      </c>
      <c r="D118" s="2">
        <f t="shared" si="3"/>
        <v>10</v>
      </c>
    </row>
  </sheetData>
  <mergeCells count="25">
    <mergeCell ref="G15:G24"/>
    <mergeCell ref="A92:D92"/>
    <mergeCell ref="A99:D99"/>
    <mergeCell ref="A106:D106"/>
    <mergeCell ref="C61:D61"/>
    <mergeCell ref="C62:D62"/>
    <mergeCell ref="C63:D63"/>
    <mergeCell ref="C80:E80"/>
    <mergeCell ref="C81:E81"/>
    <mergeCell ref="C82:E82"/>
    <mergeCell ref="G25:G28"/>
    <mergeCell ref="A33:B33"/>
    <mergeCell ref="A113:D113"/>
    <mergeCell ref="A19:B19"/>
    <mergeCell ref="A15:B15"/>
    <mergeCell ref="A2:E2"/>
    <mergeCell ref="B3:C3"/>
    <mergeCell ref="D3:E3"/>
    <mergeCell ref="A24:B24"/>
    <mergeCell ref="A51:B51"/>
    <mergeCell ref="A58:B58"/>
    <mergeCell ref="A74:B74"/>
    <mergeCell ref="A44:B44"/>
    <mergeCell ref="B10:C10"/>
    <mergeCell ref="D10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2"/>
  <sheetViews>
    <sheetView workbookViewId="0">
      <selection activeCell="A16" sqref="A16"/>
    </sheetView>
  </sheetViews>
  <sheetFormatPr baseColWidth="10" defaultRowHeight="15" x14ac:dyDescent="0.25"/>
  <cols>
    <col min="1" max="1" width="25.85546875" customWidth="1"/>
    <col min="2" max="2" width="25.85546875" style="1" customWidth="1"/>
    <col min="3" max="3" width="21.28515625" customWidth="1"/>
    <col min="4" max="4" width="17.140625" customWidth="1"/>
    <col min="5" max="5" width="13.140625" customWidth="1"/>
    <col min="6" max="6" width="14.7109375" customWidth="1"/>
    <col min="9" max="9" width="16.7109375" customWidth="1"/>
    <col min="12" max="12" width="15.28515625" customWidth="1"/>
  </cols>
  <sheetData>
    <row r="2" spans="1:17" x14ac:dyDescent="0.25">
      <c r="A2" s="292" t="s">
        <v>77</v>
      </c>
      <c r="B2" s="292"/>
    </row>
    <row r="3" spans="1:17" s="5" customFormat="1" x14ac:dyDescent="0.25">
      <c r="A3" s="30"/>
      <c r="B3" s="30"/>
    </row>
    <row r="4" spans="1:17" x14ac:dyDescent="0.25">
      <c r="A4" s="132"/>
      <c r="B4" s="248" t="s">
        <v>78</v>
      </c>
      <c r="C4" s="248" t="s">
        <v>79</v>
      </c>
      <c r="D4" s="248" t="s">
        <v>84</v>
      </c>
      <c r="E4" s="134"/>
      <c r="F4" s="134"/>
    </row>
    <row r="5" spans="1:17" x14ac:dyDescent="0.25">
      <c r="A5" s="33" t="s">
        <v>75</v>
      </c>
      <c r="B5" s="135">
        <f>'Datos de partida'!I32</f>
        <v>2000</v>
      </c>
      <c r="C5" s="133" t="s">
        <v>80</v>
      </c>
      <c r="D5" s="133" t="str">
        <f>O12</f>
        <v>Comedor</v>
      </c>
      <c r="E5" s="134"/>
      <c r="F5" s="134"/>
    </row>
    <row r="6" spans="1:17" s="1" customFormat="1" x14ac:dyDescent="0.25">
      <c r="A6" s="134"/>
      <c r="B6" s="136"/>
      <c r="C6" s="134"/>
      <c r="D6" s="134"/>
      <c r="E6" s="134"/>
      <c r="F6" s="134"/>
    </row>
    <row r="7" spans="1:17" s="1" customFormat="1" x14ac:dyDescent="0.25">
      <c r="A7" s="134"/>
      <c r="B7" s="129" t="s">
        <v>78</v>
      </c>
      <c r="C7" s="129" t="s">
        <v>79</v>
      </c>
      <c r="D7" s="129" t="s">
        <v>83</v>
      </c>
      <c r="E7" s="130" t="s">
        <v>82</v>
      </c>
      <c r="F7" s="130" t="s">
        <v>86</v>
      </c>
    </row>
    <row r="8" spans="1:17" ht="45" x14ac:dyDescent="0.25">
      <c r="A8" s="131" t="str">
        <f>'Datos de partida'!H33</f>
        <v>Amortización edificio</v>
      </c>
      <c r="B8" s="137">
        <f>'Datos de partida'!I33</f>
        <v>575</v>
      </c>
      <c r="C8" s="138" t="s">
        <v>81</v>
      </c>
      <c r="D8" s="97" t="s">
        <v>85</v>
      </c>
      <c r="E8" s="138">
        <f>'Datos de partida'!P86</f>
        <v>11.5</v>
      </c>
      <c r="F8" s="138">
        <f>B8/E8</f>
        <v>50</v>
      </c>
    </row>
    <row r="11" spans="1:17" ht="15.75" thickBot="1" x14ac:dyDescent="0.3"/>
    <row r="12" spans="1:17" ht="45" x14ac:dyDescent="0.25">
      <c r="B12" s="262" t="s">
        <v>72</v>
      </c>
      <c r="C12" s="263" t="s">
        <v>26</v>
      </c>
      <c r="D12" s="263" t="s">
        <v>27</v>
      </c>
      <c r="E12" s="241" t="s">
        <v>28</v>
      </c>
      <c r="F12" s="241" t="s">
        <v>29</v>
      </c>
      <c r="G12" s="263" t="s">
        <v>33</v>
      </c>
      <c r="H12" s="241" t="s">
        <v>31</v>
      </c>
      <c r="I12" s="241" t="s">
        <v>35</v>
      </c>
      <c r="J12" s="263" t="s">
        <v>37</v>
      </c>
      <c r="K12" s="241" t="s">
        <v>38</v>
      </c>
      <c r="L12" s="241" t="s">
        <v>39</v>
      </c>
      <c r="M12" s="241" t="s">
        <v>30</v>
      </c>
      <c r="N12" s="241" t="s">
        <v>32</v>
      </c>
      <c r="O12" s="241" t="s">
        <v>34</v>
      </c>
      <c r="P12" s="264" t="s">
        <v>36</v>
      </c>
    </row>
    <row r="13" spans="1:17" x14ac:dyDescent="0.25">
      <c r="A13" s="7" t="s">
        <v>71</v>
      </c>
      <c r="B13" s="29">
        <f>SUM(C13:P13)</f>
        <v>39750</v>
      </c>
      <c r="C13" s="29">
        <f>'Datos de partida'!I15</f>
        <v>1800</v>
      </c>
      <c r="D13" s="29">
        <f>'Datos de partida'!I16</f>
        <v>2000</v>
      </c>
      <c r="E13" s="29">
        <f>'Datos de partida'!I17</f>
        <v>4500</v>
      </c>
      <c r="F13" s="29">
        <f>'Datos de partida'!I18</f>
        <v>6000</v>
      </c>
      <c r="G13" s="29">
        <f>'Datos de partida'!I19</f>
        <v>1950</v>
      </c>
      <c r="H13" s="29">
        <f>'Datos de partida'!I20</f>
        <v>2800</v>
      </c>
      <c r="I13" s="29">
        <f>'Datos de partida'!I21</f>
        <v>3200</v>
      </c>
      <c r="J13" s="29">
        <f>'Datos de partida'!I22</f>
        <v>2000</v>
      </c>
      <c r="K13" s="29">
        <f>'Datos de partida'!I23</f>
        <v>4500</v>
      </c>
      <c r="L13" s="29">
        <f>'Datos de partida'!I24</f>
        <v>3500</v>
      </c>
      <c r="M13" s="29">
        <f>'Datos de partida'!I25</f>
        <v>2000</v>
      </c>
      <c r="N13" s="29">
        <f>'Datos de partida'!I26</f>
        <v>2000</v>
      </c>
      <c r="O13" s="29">
        <f>'Datos de partida'!I27</f>
        <v>500</v>
      </c>
      <c r="P13" s="29">
        <f>'Datos de partida'!I28</f>
        <v>3000</v>
      </c>
    </row>
    <row r="14" spans="1:17" x14ac:dyDescent="0.25">
      <c r="A14" s="7" t="str">
        <f>'Datos de partida'!H32</f>
        <v>Catering</v>
      </c>
      <c r="B14" s="29">
        <f>'Datos de partida'!I32</f>
        <v>2000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29">
        <f>B14</f>
        <v>2000</v>
      </c>
      <c r="P14" s="7"/>
    </row>
    <row r="15" spans="1:17" ht="15.75" thickBot="1" x14ac:dyDescent="0.3">
      <c r="A15" s="25" t="str">
        <f>'Datos de partida'!H33</f>
        <v>Amortización edificio</v>
      </c>
      <c r="B15" s="55">
        <f>SUM(C15:P15)</f>
        <v>575</v>
      </c>
      <c r="C15" s="25">
        <f>$F$8*'Datos de partida'!B86</f>
        <v>50</v>
      </c>
      <c r="D15" s="25">
        <f>$F$8*'Datos de partida'!C86</f>
        <v>50</v>
      </c>
      <c r="E15" s="25">
        <f>$F$8*'Datos de partida'!D86</f>
        <v>50</v>
      </c>
      <c r="F15" s="25">
        <f>$F$8*'Datos de partida'!E86</f>
        <v>50</v>
      </c>
      <c r="G15" s="25">
        <f>$F$8*'Datos de partida'!F86</f>
        <v>50</v>
      </c>
      <c r="H15" s="25">
        <f>$F$8*'Datos de partida'!G86</f>
        <v>50</v>
      </c>
      <c r="I15" s="25">
        <f>$F$8*'Datos de partida'!H86</f>
        <v>50</v>
      </c>
      <c r="J15" s="25">
        <f>$F$8*'Datos de partida'!I86</f>
        <v>50</v>
      </c>
      <c r="K15" s="25">
        <f>$F$8*'Datos de partida'!J86</f>
        <v>50</v>
      </c>
      <c r="L15" s="25">
        <f>$F$8*'Datos de partida'!K86</f>
        <v>50</v>
      </c>
      <c r="M15" s="25">
        <f>$F$8*'Datos de partida'!L86</f>
        <v>0</v>
      </c>
      <c r="N15" s="25">
        <f>$F$8*'Datos de partida'!M86</f>
        <v>25</v>
      </c>
      <c r="O15" s="25">
        <f>$F$8*'Datos de partida'!N86</f>
        <v>25</v>
      </c>
      <c r="P15" s="25">
        <f>$F$8*'Datos de partida'!O86</f>
        <v>25</v>
      </c>
      <c r="Q15" t="str">
        <f>IF(B15='Datos de partida'!I33,"",1)</f>
        <v/>
      </c>
    </row>
    <row r="16" spans="1:17" ht="15.75" thickBot="1" x14ac:dyDescent="0.3">
      <c r="A16" s="265" t="s">
        <v>87</v>
      </c>
      <c r="B16" s="56">
        <f>SUM(C16:P16)</f>
        <v>42325</v>
      </c>
      <c r="C16" s="56">
        <f>SUM(C13:C15)</f>
        <v>1850</v>
      </c>
      <c r="D16" s="56">
        <f t="shared" ref="D16:P16" si="0">SUM(D13:D15)</f>
        <v>2050</v>
      </c>
      <c r="E16" s="56">
        <f t="shared" si="0"/>
        <v>4550</v>
      </c>
      <c r="F16" s="56">
        <f t="shared" si="0"/>
        <v>6050</v>
      </c>
      <c r="G16" s="56">
        <f t="shared" si="0"/>
        <v>2000</v>
      </c>
      <c r="H16" s="56">
        <f t="shared" si="0"/>
        <v>2850</v>
      </c>
      <c r="I16" s="56">
        <f t="shared" si="0"/>
        <v>3250</v>
      </c>
      <c r="J16" s="56">
        <f t="shared" si="0"/>
        <v>2050</v>
      </c>
      <c r="K16" s="56">
        <f t="shared" si="0"/>
        <v>4550</v>
      </c>
      <c r="L16" s="56">
        <f t="shared" si="0"/>
        <v>3550</v>
      </c>
      <c r="M16" s="56">
        <f t="shared" si="0"/>
        <v>2000</v>
      </c>
      <c r="N16" s="56">
        <f t="shared" si="0"/>
        <v>2025</v>
      </c>
      <c r="O16" s="56">
        <f t="shared" si="0"/>
        <v>2525</v>
      </c>
      <c r="P16" s="57">
        <f t="shared" si="0"/>
        <v>3025</v>
      </c>
      <c r="Q16" s="27" t="str">
        <f>IF(B16=(B13+B14+B15),"",1)</f>
        <v/>
      </c>
    </row>
    <row r="19" spans="1:2" s="5" customFormat="1" x14ac:dyDescent="0.25">
      <c r="A19" s="293"/>
      <c r="B19" s="293"/>
    </row>
    <row r="20" spans="1:2" s="5" customFormat="1" x14ac:dyDescent="0.25"/>
    <row r="21" spans="1:2" s="5" customFormat="1" x14ac:dyDescent="0.25"/>
    <row r="22" spans="1:2" s="5" customFormat="1" x14ac:dyDescent="0.25"/>
  </sheetData>
  <mergeCells count="2">
    <mergeCell ref="A2:B2"/>
    <mergeCell ref="A19:B1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50"/>
  <sheetViews>
    <sheetView workbookViewId="0">
      <selection activeCell="D8" sqref="D8"/>
    </sheetView>
  </sheetViews>
  <sheetFormatPr baseColWidth="10" defaultRowHeight="15" x14ac:dyDescent="0.25"/>
  <cols>
    <col min="1" max="1" width="21.140625" customWidth="1"/>
    <col min="2" max="2" width="17.5703125" customWidth="1"/>
    <col min="3" max="3" width="26" customWidth="1"/>
    <col min="5" max="5" width="16.140625" customWidth="1"/>
  </cols>
  <sheetData>
    <row r="4" spans="1:12" ht="18" x14ac:dyDescent="0.25">
      <c r="A4" s="294" t="s">
        <v>88</v>
      </c>
      <c r="B4" s="295"/>
      <c r="C4" s="295"/>
      <c r="D4" s="295"/>
      <c r="E4" s="295"/>
      <c r="F4" s="34"/>
    </row>
    <row r="7" spans="1:12" ht="15.75" thickBot="1" x14ac:dyDescent="0.3">
      <c r="A7" s="34"/>
      <c r="B7" s="43" t="s">
        <v>87</v>
      </c>
      <c r="C7" s="54" t="s">
        <v>97</v>
      </c>
      <c r="D7" s="34"/>
      <c r="E7" s="34"/>
      <c r="F7" s="34"/>
    </row>
    <row r="8" spans="1:12" ht="26.25" x14ac:dyDescent="0.25">
      <c r="A8" s="50" t="s">
        <v>30</v>
      </c>
      <c r="B8" s="194">
        <f t="array" ref="B8:B11">TRANSPOSE('Apartado 1. Distribución costes'!M16:P16)</f>
        <v>2000</v>
      </c>
      <c r="C8" s="49" t="str">
        <f>'Datos de partida'!A86</f>
        <v>Zonas con superficie diferenciada</v>
      </c>
      <c r="D8" s="34"/>
      <c r="E8" s="41"/>
      <c r="F8" s="53"/>
      <c r="G8" s="31"/>
      <c r="H8" s="31"/>
      <c r="I8" s="53"/>
      <c r="J8" s="31"/>
      <c r="K8" s="31"/>
      <c r="L8" s="31"/>
    </row>
    <row r="9" spans="1:12" x14ac:dyDescent="0.25">
      <c r="A9" s="33" t="s">
        <v>32</v>
      </c>
      <c r="B9" s="194">
        <v>2025</v>
      </c>
      <c r="C9" s="40" t="str">
        <f>'Datos de partida'!A87</f>
        <v>Número controles laboratorio</v>
      </c>
      <c r="D9" s="34"/>
      <c r="E9" s="34"/>
      <c r="F9" s="53"/>
      <c r="G9" s="31"/>
      <c r="H9" s="31"/>
      <c r="I9" s="53"/>
      <c r="J9" s="31"/>
      <c r="K9" s="31"/>
      <c r="L9" s="31"/>
    </row>
    <row r="10" spans="1:12" x14ac:dyDescent="0.25">
      <c r="A10" s="33" t="s">
        <v>34</v>
      </c>
      <c r="B10" s="194">
        <v>2525</v>
      </c>
      <c r="C10" s="40" t="str">
        <f>'Datos de partida'!A89</f>
        <v>Reparto lineal para Comedor</v>
      </c>
      <c r="D10" s="34"/>
      <c r="E10" s="34"/>
      <c r="F10" s="53"/>
      <c r="G10" s="31"/>
      <c r="H10" s="31"/>
      <c r="I10" s="53"/>
      <c r="J10" s="31"/>
      <c r="K10" s="31"/>
      <c r="L10" s="31"/>
    </row>
    <row r="11" spans="1:12" ht="15.75" thickBot="1" x14ac:dyDescent="0.3">
      <c r="A11" s="47" t="s">
        <v>36</v>
      </c>
      <c r="B11" s="194">
        <v>3025</v>
      </c>
      <c r="C11" s="42" t="str">
        <f>'Datos de partida'!A88</f>
        <v>Horas servicio técnico</v>
      </c>
      <c r="D11" s="35"/>
      <c r="E11" s="35"/>
      <c r="F11" s="53"/>
      <c r="G11" s="31"/>
      <c r="H11" s="31"/>
      <c r="I11" s="53"/>
      <c r="J11" s="31"/>
      <c r="K11" s="31"/>
      <c r="L11" s="31"/>
    </row>
    <row r="12" spans="1:12" x14ac:dyDescent="0.25">
      <c r="A12" s="34"/>
      <c r="B12" s="34"/>
      <c r="C12" s="35"/>
      <c r="D12" s="35"/>
      <c r="E12" s="35"/>
      <c r="F12" s="35"/>
    </row>
    <row r="13" spans="1:12" x14ac:dyDescent="0.25">
      <c r="A13" s="34"/>
      <c r="B13" s="34"/>
      <c r="C13" s="35"/>
      <c r="D13" s="35"/>
      <c r="E13" s="35"/>
      <c r="F13" s="35"/>
    </row>
    <row r="14" spans="1:12" x14ac:dyDescent="0.25">
      <c r="A14" s="34"/>
      <c r="B14" s="34"/>
      <c r="C14" s="35"/>
      <c r="D14" s="35"/>
      <c r="E14" s="35"/>
      <c r="F14" s="35"/>
    </row>
    <row r="15" spans="1:12" ht="18" x14ac:dyDescent="0.25">
      <c r="A15" s="294" t="s">
        <v>89</v>
      </c>
      <c r="B15" s="295"/>
      <c r="C15" s="295"/>
      <c r="D15" s="295"/>
      <c r="E15" s="295"/>
      <c r="F15" s="34"/>
    </row>
    <row r="16" spans="1:12" x14ac:dyDescent="0.25">
      <c r="A16" s="34"/>
      <c r="B16" s="34"/>
      <c r="C16" s="34"/>
      <c r="D16" s="35"/>
      <c r="E16" s="35"/>
      <c r="F16" s="35"/>
    </row>
    <row r="17" spans="1:6" x14ac:dyDescent="0.25">
      <c r="A17" s="34"/>
      <c r="B17" s="54" t="str">
        <f>A18</f>
        <v>Limpieza</v>
      </c>
      <c r="C17" s="54" t="str">
        <f>A19</f>
        <v>Laboratorio</v>
      </c>
      <c r="D17" s="54" t="str">
        <f>A20</f>
        <v>Comedor</v>
      </c>
      <c r="E17" s="54" t="str">
        <f>A21</f>
        <v>Servicio Técnico</v>
      </c>
      <c r="F17" s="34"/>
    </row>
    <row r="18" spans="1:6" x14ac:dyDescent="0.25">
      <c r="A18" s="39" t="str">
        <f>A8</f>
        <v>Limpieza</v>
      </c>
      <c r="B18" s="44">
        <f>'Datos de partida'!L86/'Datos de partida'!P86</f>
        <v>0</v>
      </c>
      <c r="C18" s="44">
        <f>'Datos de partida'!L87/'Datos de partida'!P87</f>
        <v>0</v>
      </c>
      <c r="D18" s="44">
        <f>'Datos de partida'!L89/'Datos de partida'!P89</f>
        <v>0.14285714285714285</v>
      </c>
      <c r="E18" s="44">
        <f>'Datos de partida'!L88/'Datos de partida'!P88</f>
        <v>0</v>
      </c>
      <c r="F18" s="35"/>
    </row>
    <row r="19" spans="1:6" x14ac:dyDescent="0.25">
      <c r="A19" s="39" t="str">
        <f>A9</f>
        <v>Laboratorio</v>
      </c>
      <c r="B19" s="44">
        <f>'Datos de partida'!M86/'Datos de partida'!P86</f>
        <v>4.3478260869565216E-2</v>
      </c>
      <c r="C19" s="44">
        <f>'Datos de partida'!M87/'Datos de partida'!P87</f>
        <v>0</v>
      </c>
      <c r="D19" s="44">
        <f>'Datos de partida'!M89/'Datos de partida'!P89</f>
        <v>0.14285714285714285</v>
      </c>
      <c r="E19" s="44">
        <f>'Datos de partida'!M88/'Datos de partida'!P88</f>
        <v>0.1111111111111111</v>
      </c>
      <c r="F19" s="35"/>
    </row>
    <row r="20" spans="1:6" x14ac:dyDescent="0.25">
      <c r="A20" s="39" t="str">
        <f>A10</f>
        <v>Comedor</v>
      </c>
      <c r="B20" s="44">
        <f>'Datos de partida'!N86/'Datos de partida'!P86</f>
        <v>4.3478260869565216E-2</v>
      </c>
      <c r="C20" s="44">
        <f>'Datos de partida'!N87/'Datos de partida'!P87</f>
        <v>0</v>
      </c>
      <c r="D20" s="44">
        <f>'Datos de partida'!N89/'Datos de partida'!P89</f>
        <v>0</v>
      </c>
      <c r="E20" s="44">
        <f>'Datos de partida'!N88/'Datos de partida'!P88</f>
        <v>0</v>
      </c>
      <c r="F20" s="35"/>
    </row>
    <row r="21" spans="1:6" x14ac:dyDescent="0.25">
      <c r="A21" s="39" t="str">
        <f>A11</f>
        <v>Servicio Técnico</v>
      </c>
      <c r="B21" s="44">
        <f>'Datos de partida'!O86/'Datos de partida'!P86</f>
        <v>4.3478260869565216E-2</v>
      </c>
      <c r="C21" s="44">
        <f>'Datos de partida'!O87/'Datos de partida'!P87</f>
        <v>0</v>
      </c>
      <c r="D21" s="44">
        <f>'Datos de partida'!O89/'Datos de partida'!P89</f>
        <v>0.14285714285714285</v>
      </c>
      <c r="E21" s="44">
        <f>'Datos de partida'!O87/'Datos de partida'!P87</f>
        <v>0</v>
      </c>
      <c r="F21" s="35"/>
    </row>
    <row r="24" spans="1:6" ht="18" x14ac:dyDescent="0.25">
      <c r="A24" s="294" t="s">
        <v>90</v>
      </c>
      <c r="B24" s="295"/>
      <c r="C24" s="295"/>
      <c r="D24" s="295"/>
      <c r="E24" s="295"/>
      <c r="F24" s="34"/>
    </row>
    <row r="26" spans="1:6" x14ac:dyDescent="0.25">
      <c r="A26" s="34"/>
      <c r="B26" s="39" t="str">
        <f>B17</f>
        <v>Limpieza</v>
      </c>
      <c r="C26" s="54" t="str">
        <f>C17</f>
        <v>Laboratorio</v>
      </c>
      <c r="D26" s="54" t="str">
        <f>D17</f>
        <v>Comedor</v>
      </c>
      <c r="E26" s="39" t="str">
        <f>E17</f>
        <v>Servicio Técnico</v>
      </c>
      <c r="F26" s="34"/>
    </row>
    <row r="27" spans="1:6" x14ac:dyDescent="0.25">
      <c r="A27" s="39" t="str">
        <f>A18</f>
        <v>Limpieza</v>
      </c>
      <c r="B27" s="42">
        <v>1</v>
      </c>
      <c r="C27" s="38">
        <f>-C18</f>
        <v>0</v>
      </c>
      <c r="D27" s="38">
        <f t="shared" ref="D27:E27" si="0">-D18</f>
        <v>-0.14285714285714285</v>
      </c>
      <c r="E27" s="38">
        <f t="shared" si="0"/>
        <v>0</v>
      </c>
      <c r="F27" s="35"/>
    </row>
    <row r="28" spans="1:6" x14ac:dyDescent="0.25">
      <c r="A28" s="39" t="str">
        <f>A19</f>
        <v>Laboratorio</v>
      </c>
      <c r="B28" s="38">
        <f>-B19</f>
        <v>-4.3478260869565216E-2</v>
      </c>
      <c r="C28" s="42">
        <f>1-C19</f>
        <v>1</v>
      </c>
      <c r="D28" s="38">
        <f>-D19</f>
        <v>-0.14285714285714285</v>
      </c>
      <c r="E28" s="38">
        <f>-E19</f>
        <v>-0.1111111111111111</v>
      </c>
      <c r="F28" s="35"/>
    </row>
    <row r="29" spans="1:6" x14ac:dyDescent="0.25">
      <c r="A29" s="39" t="str">
        <f>A20</f>
        <v>Comedor</v>
      </c>
      <c r="B29" s="38">
        <f>-B20</f>
        <v>-4.3478260869565216E-2</v>
      </c>
      <c r="C29" s="38">
        <f>-C20</f>
        <v>0</v>
      </c>
      <c r="D29" s="42">
        <f>1-D20</f>
        <v>1</v>
      </c>
      <c r="E29" s="42">
        <f>-E20</f>
        <v>0</v>
      </c>
      <c r="F29" s="35"/>
    </row>
    <row r="30" spans="1:6" x14ac:dyDescent="0.25">
      <c r="A30" s="39" t="str">
        <f>A21</f>
        <v>Servicio Técnico</v>
      </c>
      <c r="B30" s="38">
        <f>-B21</f>
        <v>-4.3478260869565216E-2</v>
      </c>
      <c r="C30" s="38">
        <f t="shared" ref="C30:D30" si="1">-C21</f>
        <v>0</v>
      </c>
      <c r="D30" s="38">
        <f t="shared" si="1"/>
        <v>-0.14285714285714285</v>
      </c>
      <c r="E30" s="42">
        <f>1-E21</f>
        <v>1</v>
      </c>
      <c r="F30" s="35"/>
    </row>
    <row r="31" spans="1:6" x14ac:dyDescent="0.25">
      <c r="A31" s="36"/>
      <c r="B31" s="45"/>
      <c r="C31" s="45"/>
      <c r="D31" s="45"/>
      <c r="E31" s="46"/>
      <c r="F31" s="35"/>
    </row>
    <row r="32" spans="1:6" x14ac:dyDescent="0.25">
      <c r="A32" s="36"/>
      <c r="B32" s="45"/>
      <c r="C32" s="45"/>
      <c r="D32" s="45"/>
      <c r="E32" s="46"/>
      <c r="F32" s="35"/>
    </row>
    <row r="33" spans="1:6" ht="21" x14ac:dyDescent="0.25">
      <c r="A33" s="294" t="s">
        <v>91</v>
      </c>
      <c r="B33" s="295"/>
      <c r="C33" s="295"/>
      <c r="D33" s="295"/>
      <c r="E33" s="295"/>
      <c r="F33" s="35"/>
    </row>
    <row r="34" spans="1:6" x14ac:dyDescent="0.25">
      <c r="A34" s="34"/>
      <c r="B34" s="34"/>
      <c r="C34" s="34"/>
      <c r="D34" s="34"/>
      <c r="E34" s="34"/>
      <c r="F34" s="35"/>
    </row>
    <row r="35" spans="1:6" x14ac:dyDescent="0.25">
      <c r="A35" s="34"/>
      <c r="B35" s="39" t="str">
        <f>B26</f>
        <v>Limpieza</v>
      </c>
      <c r="C35" s="54" t="str">
        <f t="shared" ref="C35:E35" si="2">C26</f>
        <v>Laboratorio</v>
      </c>
      <c r="D35" s="54" t="str">
        <f t="shared" si="2"/>
        <v>Comedor</v>
      </c>
      <c r="E35" s="39" t="str">
        <f t="shared" si="2"/>
        <v>Servicio Técnico</v>
      </c>
      <c r="F35" s="35"/>
    </row>
    <row r="36" spans="1:6" x14ac:dyDescent="0.25">
      <c r="A36" s="39" t="str">
        <f>A27</f>
        <v>Limpieza</v>
      </c>
      <c r="B36" s="42">
        <f t="array" ref="B36:E39">MINVERSE(B27:E30)</f>
        <v>1.0062500000000001</v>
      </c>
      <c r="C36" s="38">
        <v>0</v>
      </c>
      <c r="D36" s="38">
        <v>0.14375000000000002</v>
      </c>
      <c r="E36" s="38">
        <v>0</v>
      </c>
      <c r="F36" s="35"/>
    </row>
    <row r="37" spans="1:6" x14ac:dyDescent="0.25">
      <c r="A37" s="39" t="str">
        <f>A28</f>
        <v>Laboratorio</v>
      </c>
      <c r="B37" s="38">
        <v>5.5555555555555552E-2</v>
      </c>
      <c r="C37" s="42">
        <v>1</v>
      </c>
      <c r="D37" s="38">
        <v>0.16666666666666669</v>
      </c>
      <c r="E37" s="38">
        <v>0.1111111111111111</v>
      </c>
      <c r="F37" s="34"/>
    </row>
    <row r="38" spans="1:6" x14ac:dyDescent="0.25">
      <c r="A38" s="39" t="str">
        <f t="shared" ref="A38:A39" si="3">A29</f>
        <v>Comedor</v>
      </c>
      <c r="B38" s="38">
        <v>4.3749999999999997E-2</v>
      </c>
      <c r="C38" s="38">
        <v>0</v>
      </c>
      <c r="D38" s="42">
        <v>1.0062500000000001</v>
      </c>
      <c r="E38" s="38">
        <v>0</v>
      </c>
      <c r="F38" s="34"/>
    </row>
    <row r="39" spans="1:6" x14ac:dyDescent="0.25">
      <c r="A39" s="39" t="str">
        <f t="shared" si="3"/>
        <v>Servicio Técnico</v>
      </c>
      <c r="B39" s="38">
        <v>4.9999999999999996E-2</v>
      </c>
      <c r="C39" s="38">
        <v>0</v>
      </c>
      <c r="D39" s="38">
        <v>0.15</v>
      </c>
      <c r="E39" s="42">
        <v>1</v>
      </c>
      <c r="F39" s="34"/>
    </row>
    <row r="40" spans="1:6" x14ac:dyDescent="0.25">
      <c r="A40" s="36"/>
      <c r="B40" s="45"/>
      <c r="C40" s="45"/>
      <c r="D40" s="45"/>
      <c r="E40" s="46"/>
      <c r="F40" s="34"/>
    </row>
    <row r="42" spans="1:6" ht="18" x14ac:dyDescent="0.25">
      <c r="A42" s="294" t="s">
        <v>92</v>
      </c>
      <c r="B42" s="295"/>
      <c r="C42" s="295"/>
      <c r="D42" s="295"/>
      <c r="E42" s="295"/>
      <c r="F42" s="34"/>
    </row>
    <row r="45" spans="1:6" ht="38.25" x14ac:dyDescent="0.25">
      <c r="A45" s="37"/>
      <c r="B45" s="60" t="s">
        <v>93</v>
      </c>
      <c r="C45" s="58" t="str">
        <f>C7</f>
        <v>UNIDAD DE OBRA</v>
      </c>
      <c r="D45" s="59" t="s">
        <v>98</v>
      </c>
      <c r="E45" s="61" t="s">
        <v>99</v>
      </c>
      <c r="F45" s="34"/>
    </row>
    <row r="46" spans="1:6" ht="26.25" x14ac:dyDescent="0.25">
      <c r="A46" s="39" t="str">
        <f>A36</f>
        <v>Limpieza</v>
      </c>
      <c r="B46" s="38">
        <f t="array" ref="B46:B49">MMULT(B36:E39,B8:B11)</f>
        <v>2375.4687500000005</v>
      </c>
      <c r="C46" s="49" t="str">
        <f t="shared" ref="C46:C49" si="4">C8</f>
        <v>Zonas con superficie diferenciada</v>
      </c>
      <c r="D46" s="40">
        <f>'Datos de partida'!P86</f>
        <v>11.5</v>
      </c>
      <c r="E46" s="38">
        <f>B46/D46</f>
        <v>206.56250000000003</v>
      </c>
      <c r="F46" s="34"/>
    </row>
    <row r="47" spans="1:6" x14ac:dyDescent="0.25">
      <c r="A47" s="39" t="str">
        <f t="shared" ref="A47:A49" si="5">A37</f>
        <v>Laboratorio</v>
      </c>
      <c r="B47" s="38">
        <v>2893.0555555555557</v>
      </c>
      <c r="C47" s="40" t="str">
        <f t="shared" si="4"/>
        <v>Número controles laboratorio</v>
      </c>
      <c r="D47" s="40">
        <f>'Datos de partida'!P87</f>
        <v>100</v>
      </c>
      <c r="E47" s="38">
        <f t="shared" ref="E47:E49" si="6">B47/D47</f>
        <v>28.930555555555557</v>
      </c>
      <c r="F47" s="34"/>
    </row>
    <row r="48" spans="1:6" x14ac:dyDescent="0.25">
      <c r="A48" s="39" t="str">
        <f t="shared" si="5"/>
        <v>Comedor</v>
      </c>
      <c r="B48" s="38">
        <v>2628.28125</v>
      </c>
      <c r="C48" s="40" t="str">
        <f t="shared" si="4"/>
        <v>Reparto lineal para Comedor</v>
      </c>
      <c r="D48" s="40">
        <f>'Datos de partida'!P89</f>
        <v>7</v>
      </c>
      <c r="E48" s="38">
        <f t="shared" si="6"/>
        <v>375.46875</v>
      </c>
      <c r="F48" s="34"/>
    </row>
    <row r="49" spans="1:6" x14ac:dyDescent="0.25">
      <c r="A49" s="39" t="str">
        <f t="shared" si="5"/>
        <v>Servicio Técnico</v>
      </c>
      <c r="B49" s="38">
        <v>3503.75</v>
      </c>
      <c r="C49" s="42" t="str">
        <f t="shared" si="4"/>
        <v>Horas servicio técnico</v>
      </c>
      <c r="D49" s="40">
        <f>'Datos de partida'!P88</f>
        <v>450</v>
      </c>
      <c r="E49" s="38">
        <f t="shared" si="6"/>
        <v>7.7861111111111114</v>
      </c>
      <c r="F49" s="34"/>
    </row>
    <row r="50" spans="1:6" x14ac:dyDescent="0.25">
      <c r="B50" s="27"/>
    </row>
  </sheetData>
  <mergeCells count="5">
    <mergeCell ref="A4:E4"/>
    <mergeCell ref="A15:E15"/>
    <mergeCell ref="A24:E24"/>
    <mergeCell ref="A33:E33"/>
    <mergeCell ref="A42:E4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7"/>
  <sheetViews>
    <sheetView workbookViewId="0">
      <selection activeCell="I14" sqref="I14"/>
    </sheetView>
  </sheetViews>
  <sheetFormatPr baseColWidth="10" defaultRowHeight="15" x14ac:dyDescent="0.25"/>
  <cols>
    <col min="1" max="1" width="23.7109375" customWidth="1"/>
    <col min="3" max="3" width="11.42578125" customWidth="1"/>
    <col min="4" max="4" width="13.85546875" customWidth="1"/>
    <col min="5" max="8" width="11.42578125" customWidth="1"/>
    <col min="9" max="9" width="18.42578125" customWidth="1"/>
    <col min="10" max="10" width="15.85546875" customWidth="1"/>
    <col min="11" max="11" width="17.85546875" customWidth="1"/>
    <col min="12" max="12" width="16.140625" customWidth="1"/>
  </cols>
  <sheetData>
    <row r="3" spans="1:20" x14ac:dyDescent="0.25">
      <c r="A3" s="296" t="s">
        <v>102</v>
      </c>
      <c r="B3" s="296"/>
      <c r="C3" s="297"/>
      <c r="D3" s="297"/>
      <c r="E3" s="297"/>
      <c r="F3" s="297"/>
      <c r="G3" s="297"/>
      <c r="H3" s="297"/>
      <c r="I3" s="297"/>
      <c r="J3" s="297"/>
      <c r="K3" s="297"/>
      <c r="L3" s="297"/>
      <c r="M3" s="297"/>
      <c r="N3" s="297"/>
      <c r="O3" s="297"/>
      <c r="P3" s="297"/>
    </row>
    <row r="5" spans="1:20" s="1" customFormat="1" x14ac:dyDescent="0.25"/>
    <row r="6" spans="1:20" ht="15.75" thickBot="1" x14ac:dyDescent="0.3"/>
    <row r="7" spans="1:20" ht="60.75" thickBot="1" x14ac:dyDescent="0.3">
      <c r="A7" s="1"/>
      <c r="B7" s="266" t="str">
        <f>'Apartado 1. Distribución costes'!B12</f>
        <v>Importe</v>
      </c>
      <c r="C7" s="246" t="str">
        <f>'Apartado 1. Distribución costes'!C12</f>
        <v>Transporte materias primas</v>
      </c>
      <c r="D7" s="246" t="str">
        <f>'Apartado 1. Distribución costes'!D12</f>
        <v>Recepción y Conservación materias primas</v>
      </c>
      <c r="E7" s="246" t="str">
        <f>'Apartado 1. Distribución costes'!E12</f>
        <v>Moldeado</v>
      </c>
      <c r="F7" s="246" t="str">
        <f>'Apartado 1. Distribución costes'!F12</f>
        <v>Horneado</v>
      </c>
      <c r="G7" s="246" t="str">
        <f>'Apartado 1. Distribución costes'!G12</f>
        <v>Cámaras congelación</v>
      </c>
      <c r="H7" s="246" t="str">
        <f>'Apartado 1. Distribución costes'!H12</f>
        <v>Cortado</v>
      </c>
      <c r="I7" s="246" t="str">
        <f>'Apartado 1. Distribución costes'!I12</f>
        <v>Empaquetado</v>
      </c>
      <c r="J7" s="246" t="str">
        <f>'Apartado 1. Distribución costes'!J12</f>
        <v>Almacén pan de molde</v>
      </c>
      <c r="K7" s="246" t="str">
        <f>'Apartado 1. Distribución costes'!K12</f>
        <v>Distribución</v>
      </c>
      <c r="L7" s="246" t="str">
        <f>'Apartado 1. Distribución costes'!L12</f>
        <v xml:space="preserve">Administración </v>
      </c>
      <c r="M7" s="246" t="str">
        <f>'Apartado 1. Distribución costes'!M12</f>
        <v>Limpieza</v>
      </c>
      <c r="N7" s="246" t="str">
        <f>'Apartado 1. Distribución costes'!N12</f>
        <v>Laboratorio</v>
      </c>
      <c r="O7" s="246" t="str">
        <f>'Apartado 1. Distribución costes'!O12</f>
        <v>Comedor</v>
      </c>
      <c r="P7" s="258" t="str">
        <f>'Apartado 1. Distribución costes'!P12</f>
        <v>Servicio Técnico</v>
      </c>
      <c r="Q7" s="1"/>
      <c r="R7" s="1"/>
      <c r="S7" s="1"/>
      <c r="T7" s="1"/>
    </row>
    <row r="8" spans="1:20" s="198" customFormat="1" x14ac:dyDescent="0.25">
      <c r="A8" s="195" t="str">
        <f>'Apartado 1. Distribución costes'!A16</f>
        <v>COSTE PRIMARIO</v>
      </c>
      <c r="B8" s="196">
        <f>'Apartado 1. Distribución costes'!B16</f>
        <v>42325</v>
      </c>
      <c r="C8" s="197">
        <f>'Apartado 1. Distribución costes'!C16</f>
        <v>1850</v>
      </c>
      <c r="D8" s="197">
        <f>'Apartado 1. Distribución costes'!D16</f>
        <v>2050</v>
      </c>
      <c r="E8" s="197">
        <f>'Apartado 1. Distribución costes'!E16</f>
        <v>4550</v>
      </c>
      <c r="F8" s="197">
        <f>'Apartado 1. Distribución costes'!F16</f>
        <v>6050</v>
      </c>
      <c r="G8" s="197">
        <f>'Apartado 1. Distribución costes'!G16</f>
        <v>2000</v>
      </c>
      <c r="H8" s="197">
        <f>'Apartado 1. Distribución costes'!H16</f>
        <v>2850</v>
      </c>
      <c r="I8" s="197">
        <f>'Apartado 1. Distribución costes'!I16</f>
        <v>3250</v>
      </c>
      <c r="J8" s="197">
        <f>'Apartado 1. Distribución costes'!J16</f>
        <v>2050</v>
      </c>
      <c r="K8" s="197">
        <f>'Apartado 1. Distribución costes'!K16</f>
        <v>4550</v>
      </c>
      <c r="L8" s="197">
        <f>'Apartado 1. Distribución costes'!L16</f>
        <v>3550</v>
      </c>
      <c r="M8" s="197">
        <f>'Apartado 1. Distribución costes'!M16</f>
        <v>2000</v>
      </c>
      <c r="N8" s="197">
        <f>'Apartado 1. Distribución costes'!N16</f>
        <v>2025</v>
      </c>
      <c r="O8" s="197">
        <f>'Apartado 1. Distribución costes'!O16</f>
        <v>2525</v>
      </c>
      <c r="P8" s="197">
        <f>'Apartado 1. Distribución costes'!P16</f>
        <v>3025</v>
      </c>
    </row>
    <row r="9" spans="1:20" s="198" customFormat="1" x14ac:dyDescent="0.25">
      <c r="A9" s="199" t="str">
        <f>M7</f>
        <v>Limpieza</v>
      </c>
      <c r="B9" s="200"/>
      <c r="C9" s="201">
        <f>'Apartado 2. CT auxiliares'!$E$46*'Datos de partida'!B86</f>
        <v>206.56250000000003</v>
      </c>
      <c r="D9" s="201">
        <f>'Apartado 2. CT auxiliares'!$E$46*'Datos de partida'!C86</f>
        <v>206.56250000000003</v>
      </c>
      <c r="E9" s="201">
        <f>'Apartado 2. CT auxiliares'!$E$46*'Datos de partida'!D86</f>
        <v>206.56250000000003</v>
      </c>
      <c r="F9" s="201">
        <f>'Apartado 2. CT auxiliares'!$E$46*'Datos de partida'!E86</f>
        <v>206.56250000000003</v>
      </c>
      <c r="G9" s="201">
        <f>'Apartado 2. CT auxiliares'!$E$46*'Datos de partida'!F86</f>
        <v>206.56250000000003</v>
      </c>
      <c r="H9" s="201">
        <f>'Apartado 2. CT auxiliares'!$E$46*'Datos de partida'!G86</f>
        <v>206.56250000000003</v>
      </c>
      <c r="I9" s="201">
        <f>'Apartado 2. CT auxiliares'!$E$46*'Datos de partida'!H86</f>
        <v>206.56250000000003</v>
      </c>
      <c r="J9" s="201">
        <f>'Apartado 2. CT auxiliares'!$E$46*'Datos de partida'!I86</f>
        <v>206.56250000000003</v>
      </c>
      <c r="K9" s="201">
        <f>'Apartado 2. CT auxiliares'!$E$46*'Datos de partida'!J86</f>
        <v>206.56250000000003</v>
      </c>
      <c r="L9" s="201">
        <f>'Apartado 2. CT auxiliares'!$E$46*'Datos de partida'!K86</f>
        <v>206.56250000000003</v>
      </c>
      <c r="M9" s="201">
        <f>-'Apartado 2. CT auxiliares'!B46</f>
        <v>-2375.4687500000005</v>
      </c>
      <c r="N9" s="201">
        <f>'Apartado 2. CT auxiliares'!$E$46*'Datos de partida'!M86</f>
        <v>103.28125000000001</v>
      </c>
      <c r="O9" s="201">
        <f>'Apartado 2. CT auxiliares'!$E$46*'Datos de partida'!N86</f>
        <v>103.28125000000001</v>
      </c>
      <c r="P9" s="201">
        <f>'Apartado 2. CT auxiliares'!$E$46*'Datos de partida'!O86</f>
        <v>103.28125000000001</v>
      </c>
      <c r="Q9" s="202"/>
      <c r="R9" s="202"/>
    </row>
    <row r="10" spans="1:20" s="198" customFormat="1" x14ac:dyDescent="0.25">
      <c r="A10" s="199" t="str">
        <f>O7</f>
        <v>Comedor</v>
      </c>
      <c r="B10" s="200"/>
      <c r="C10" s="200">
        <f>'Apartado 2. CT auxiliares'!$E$48*'Datos de partida'!B89</f>
        <v>0</v>
      </c>
      <c r="D10" s="200">
        <f>'Apartado 2. CT auxiliares'!$E$48*'Datos de partida'!C89</f>
        <v>0</v>
      </c>
      <c r="E10" s="201">
        <f>'Apartado 2. CT auxiliares'!$E$48*'Datos de partida'!D89</f>
        <v>375.46875</v>
      </c>
      <c r="F10" s="201">
        <f>'Apartado 2. CT auxiliares'!$E$48*'Datos de partida'!E89</f>
        <v>375.46875</v>
      </c>
      <c r="G10" s="201">
        <f>'Apartado 2. CT auxiliares'!$E$48*'Datos de partida'!F89</f>
        <v>0</v>
      </c>
      <c r="H10" s="201">
        <f>'Apartado 2. CT auxiliares'!$E$48*'Datos de partida'!G89</f>
        <v>375.46875</v>
      </c>
      <c r="I10" s="201">
        <f>'Apartado 2. CT auxiliares'!$E$48*'Datos de partida'!H89</f>
        <v>375.46875</v>
      </c>
      <c r="J10" s="201">
        <f>'Apartado 2. CT auxiliares'!$E$48*'Datos de partida'!I89</f>
        <v>0</v>
      </c>
      <c r="K10" s="201">
        <f>'Apartado 2. CT auxiliares'!$E$48*'Datos de partida'!J89</f>
        <v>0</v>
      </c>
      <c r="L10" s="201">
        <f>'Apartado 2. CT auxiliares'!$E$48*'Datos de partida'!K89</f>
        <v>0</v>
      </c>
      <c r="M10" s="201">
        <f>'Apartado 2. CT auxiliares'!$E$48*'Datos de partida'!L89</f>
        <v>375.46875</v>
      </c>
      <c r="N10" s="201">
        <f>'Apartado 2. CT auxiliares'!$E$48*'Datos de partida'!M89</f>
        <v>375.46875</v>
      </c>
      <c r="O10" s="201">
        <f>-'Apartado 2. CT auxiliares'!B48</f>
        <v>-2628.28125</v>
      </c>
      <c r="P10" s="201">
        <f>'Apartado 2. CT auxiliares'!$E$48*'Datos de partida'!O89</f>
        <v>375.46875</v>
      </c>
      <c r="Q10" s="202"/>
      <c r="R10" s="202"/>
    </row>
    <row r="11" spans="1:20" s="198" customFormat="1" x14ac:dyDescent="0.25">
      <c r="A11" s="199" t="str">
        <f>P7</f>
        <v>Servicio Técnico</v>
      </c>
      <c r="B11" s="200"/>
      <c r="C11" s="200">
        <f>'Apartado 2. CT auxiliares'!$E$49*'Datos de partida'!B88</f>
        <v>0</v>
      </c>
      <c r="D11" s="200">
        <f>'Apartado 2. CT auxiliares'!$E$49*'Datos de partida'!C88</f>
        <v>0</v>
      </c>
      <c r="E11" s="201">
        <f>'Apartado 2. CT auxiliares'!$E$49*'Datos de partida'!D88</f>
        <v>622.88888888888891</v>
      </c>
      <c r="F11" s="201">
        <f>'Apartado 2. CT auxiliares'!$E$49*'Datos de partida'!E88</f>
        <v>778.61111111111109</v>
      </c>
      <c r="G11" s="201">
        <f>'Apartado 2. CT auxiliares'!$E$49*'Datos de partida'!F88</f>
        <v>155.72222222222223</v>
      </c>
      <c r="H11" s="201">
        <f>'Apartado 2. CT auxiliares'!$E$49*'Datos de partida'!G88</f>
        <v>778.61111111111109</v>
      </c>
      <c r="I11" s="201">
        <f>'Apartado 2. CT auxiliares'!$E$49*'Datos de partida'!H88</f>
        <v>778.61111111111109</v>
      </c>
      <c r="J11" s="201">
        <f>'Apartado 2. CT auxiliares'!$E$49*'Datos de partida'!I88</f>
        <v>0</v>
      </c>
      <c r="K11" s="201">
        <f>'Apartado 2. CT auxiliares'!$E$49*'Datos de partida'!J88</f>
        <v>0</v>
      </c>
      <c r="L11" s="201">
        <f>'Apartado 2. CT auxiliares'!$E$49*'Datos de partida'!K88</f>
        <v>0</v>
      </c>
      <c r="M11" s="201">
        <f>'Apartado 2. CT auxiliares'!$E$49*'Datos de partida'!L88</f>
        <v>0</v>
      </c>
      <c r="N11" s="201">
        <f>'Apartado 2. CT auxiliares'!$E$49*'Datos de partida'!M88</f>
        <v>389.30555555555554</v>
      </c>
      <c r="O11" s="201">
        <f>'Apartado 2. CT auxiliares'!$E$49*'Datos de partida'!N88</f>
        <v>0</v>
      </c>
      <c r="P11" s="201">
        <f>-'Apartado 2. CT auxiliares'!B49</f>
        <v>-3503.75</v>
      </c>
      <c r="Q11" s="202"/>
      <c r="R11" s="202"/>
    </row>
    <row r="12" spans="1:20" s="198" customFormat="1" x14ac:dyDescent="0.25">
      <c r="A12" s="203" t="str">
        <f>N7</f>
        <v>Laboratorio</v>
      </c>
      <c r="B12" s="204"/>
      <c r="C12" s="205">
        <f>'Apartado 2. CT auxiliares'!$E$47*'Datos de partida'!B87</f>
        <v>0</v>
      </c>
      <c r="D12" s="205">
        <f>'Apartado 2. CT auxiliares'!$E$47*'Datos de partida'!C87</f>
        <v>0</v>
      </c>
      <c r="E12" s="205">
        <f>'Apartado 2. CT auxiliares'!$E$47*'Datos de partida'!D87</f>
        <v>231.44444444444446</v>
      </c>
      <c r="F12" s="205">
        <f>'Apartado 2. CT auxiliares'!$E$47*'Datos de partida'!E87</f>
        <v>1446.5277777777778</v>
      </c>
      <c r="G12" s="205">
        <f>'Apartado 2. CT auxiliares'!$E$47*'Datos de partida'!F87</f>
        <v>57.861111111111114</v>
      </c>
      <c r="H12" s="205">
        <f>'Apartado 2. CT auxiliares'!$E$47*'Datos de partida'!G87</f>
        <v>578.61111111111109</v>
      </c>
      <c r="I12" s="205">
        <f>'Apartado 2. CT auxiliares'!$E$47*'Datos de partida'!H87</f>
        <v>433.95833333333337</v>
      </c>
      <c r="J12" s="205">
        <f>'Apartado 2. CT auxiliares'!$E$47*'Datos de partida'!I87</f>
        <v>144.65277777777777</v>
      </c>
      <c r="K12" s="205">
        <f>'Apartado 2. CT auxiliares'!$E$47*'Datos de partida'!J87</f>
        <v>0</v>
      </c>
      <c r="L12" s="205">
        <f>'Apartado 2. CT auxiliares'!$E$47*'Datos de partida'!K87</f>
        <v>0</v>
      </c>
      <c r="M12" s="205">
        <f>'Apartado 2. CT auxiliares'!$E$47*'Datos de partida'!L87</f>
        <v>0</v>
      </c>
      <c r="N12" s="205">
        <f>-'Apartado 2. CT auxiliares'!$B$47</f>
        <v>-2893.0555555555557</v>
      </c>
      <c r="O12" s="205">
        <f>'Apartado 2. CT auxiliares'!$E$47*'Datos de partida'!N87</f>
        <v>0</v>
      </c>
      <c r="P12" s="205">
        <f>'Apartado 2. CT auxiliares'!$E$47*'Datos de partida'!O87</f>
        <v>0</v>
      </c>
      <c r="Q12" s="202"/>
      <c r="R12" s="202"/>
    </row>
    <row r="13" spans="1:20" s="198" customFormat="1" x14ac:dyDescent="0.25">
      <c r="A13" s="199" t="s">
        <v>100</v>
      </c>
      <c r="B13" s="206">
        <f>SUM(C13:P13)</f>
        <v>11400.555555555555</v>
      </c>
      <c r="C13" s="201">
        <f>SUM(C9:C12)</f>
        <v>206.56250000000003</v>
      </c>
      <c r="D13" s="201">
        <f t="shared" ref="D13:L13" si="0">SUM(D9:D12)</f>
        <v>206.56250000000003</v>
      </c>
      <c r="E13" s="201">
        <f t="shared" si="0"/>
        <v>1436.3645833333335</v>
      </c>
      <c r="F13" s="201">
        <f t="shared" si="0"/>
        <v>2807.1701388888887</v>
      </c>
      <c r="G13" s="201">
        <f t="shared" si="0"/>
        <v>420.14583333333337</v>
      </c>
      <c r="H13" s="201">
        <f t="shared" si="0"/>
        <v>1939.2534722222222</v>
      </c>
      <c r="I13" s="201">
        <f t="shared" si="0"/>
        <v>1794.6006944444443</v>
      </c>
      <c r="J13" s="201">
        <f t="shared" si="0"/>
        <v>351.21527777777783</v>
      </c>
      <c r="K13" s="201">
        <f t="shared" si="0"/>
        <v>206.56250000000003</v>
      </c>
      <c r="L13" s="201">
        <f t="shared" si="0"/>
        <v>206.56250000000003</v>
      </c>
      <c r="M13" s="201">
        <f>SUM(M10:M12)</f>
        <v>375.46875</v>
      </c>
      <c r="N13" s="201">
        <f>N9+N10+N11</f>
        <v>868.05555555555554</v>
      </c>
      <c r="O13" s="201">
        <f>O9+O11+O12</f>
        <v>103.28125000000001</v>
      </c>
      <c r="P13" s="201">
        <f>P9+P10+P12</f>
        <v>478.75</v>
      </c>
    </row>
    <row r="14" spans="1:20" s="198" customFormat="1" ht="21" x14ac:dyDescent="0.35">
      <c r="A14" s="207" t="s">
        <v>101</v>
      </c>
      <c r="B14" s="208">
        <f>SUM(C14:P14)</f>
        <v>42325</v>
      </c>
      <c r="C14" s="208">
        <f>C8+C13</f>
        <v>2056.5625</v>
      </c>
      <c r="D14" s="208">
        <f t="shared" ref="D14:L14" si="1">D8+D13</f>
        <v>2256.5625</v>
      </c>
      <c r="E14" s="208">
        <f t="shared" si="1"/>
        <v>5986.3645833333339</v>
      </c>
      <c r="F14" s="208">
        <f t="shared" si="1"/>
        <v>8857.1701388888887</v>
      </c>
      <c r="G14" s="208">
        <f t="shared" si="1"/>
        <v>2420.1458333333335</v>
      </c>
      <c r="H14" s="208">
        <f t="shared" si="1"/>
        <v>4789.2534722222226</v>
      </c>
      <c r="I14" s="208">
        <f t="shared" si="1"/>
        <v>5044.6006944444443</v>
      </c>
      <c r="J14" s="208">
        <f t="shared" si="1"/>
        <v>2401.2152777777778</v>
      </c>
      <c r="K14" s="208">
        <f t="shared" si="1"/>
        <v>4756.5625</v>
      </c>
      <c r="L14" s="208">
        <f t="shared" si="1"/>
        <v>3756.5625</v>
      </c>
      <c r="M14" s="208">
        <f>M8+M13+M9</f>
        <v>0</v>
      </c>
      <c r="N14" s="208">
        <f>N8+N13+N12</f>
        <v>0</v>
      </c>
      <c r="O14" s="208">
        <f>O8+O13+O10</f>
        <v>0</v>
      </c>
      <c r="P14" s="208">
        <f>P8+P13+P11</f>
        <v>0</v>
      </c>
    </row>
    <row r="17" spans="3:3" x14ac:dyDescent="0.25">
      <c r="C17" s="27"/>
    </row>
  </sheetData>
  <mergeCells count="1">
    <mergeCell ref="A3:P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9"/>
  <sheetViews>
    <sheetView tabSelected="1" topLeftCell="A85" workbookViewId="0">
      <selection activeCell="G87" sqref="G87"/>
    </sheetView>
  </sheetViews>
  <sheetFormatPr baseColWidth="10" defaultRowHeight="15" x14ac:dyDescent="0.25"/>
  <cols>
    <col min="1" max="1" width="37.5703125" customWidth="1"/>
    <col min="2" max="2" width="19.28515625" customWidth="1"/>
    <col min="3" max="3" width="31.140625" customWidth="1"/>
    <col min="4" max="4" width="20.7109375" customWidth="1"/>
    <col min="5" max="5" width="15.42578125" customWidth="1"/>
    <col min="6" max="6" width="20.28515625" customWidth="1"/>
    <col min="7" max="7" width="27.140625" customWidth="1"/>
    <col min="8" max="8" width="25.140625" customWidth="1"/>
    <col min="9" max="9" width="39.42578125" customWidth="1"/>
  </cols>
  <sheetData>
    <row r="2" spans="1:16" x14ac:dyDescent="0.25">
      <c r="A2" s="296" t="s">
        <v>109</v>
      </c>
      <c r="B2" s="297"/>
      <c r="C2" s="297"/>
      <c r="D2" s="297"/>
      <c r="E2" s="297"/>
      <c r="F2" s="297"/>
      <c r="G2" s="297"/>
      <c r="H2" s="297"/>
      <c r="I2" s="81"/>
      <c r="J2" s="81"/>
      <c r="K2" s="81"/>
      <c r="L2" s="81"/>
      <c r="M2" s="81"/>
      <c r="N2" s="81"/>
      <c r="O2" s="81"/>
      <c r="P2" s="81"/>
    </row>
    <row r="3" spans="1:16" ht="15.75" thickBot="1" x14ac:dyDescent="0.3"/>
    <row r="4" spans="1:16" ht="15.75" thickBot="1" x14ac:dyDescent="0.3">
      <c r="A4" s="268" t="s">
        <v>110</v>
      </c>
      <c r="B4" s="298"/>
      <c r="C4" s="298"/>
      <c r="D4" s="298"/>
      <c r="E4" s="298"/>
      <c r="F4" s="298"/>
      <c r="G4" s="299"/>
      <c r="H4" s="300"/>
    </row>
    <row r="5" spans="1:16" ht="45.75" thickBot="1" x14ac:dyDescent="0.3">
      <c r="A5" s="173"/>
      <c r="B5" s="235" t="s">
        <v>111</v>
      </c>
      <c r="C5" s="236" t="s">
        <v>24</v>
      </c>
      <c r="D5" s="237" t="s">
        <v>112</v>
      </c>
      <c r="E5" s="238" t="s">
        <v>113</v>
      </c>
      <c r="F5" s="239" t="s">
        <v>114</v>
      </c>
      <c r="G5" s="239" t="s">
        <v>121</v>
      </c>
      <c r="H5" s="239" t="s">
        <v>115</v>
      </c>
    </row>
    <row r="6" spans="1:16" ht="30" x14ac:dyDescent="0.25">
      <c r="A6" s="174" t="s">
        <v>122</v>
      </c>
      <c r="B6" s="2">
        <f>'Datos de partida'!B21*'Datos de partida'!D11/'Datos de partida'!B11</f>
        <v>0.24</v>
      </c>
      <c r="C6" s="23">
        <f>'Datos de partida'!B11</f>
        <v>5000</v>
      </c>
      <c r="D6" s="23">
        <f t="shared" ref="D6:D11" si="0">B6*C6</f>
        <v>1200</v>
      </c>
      <c r="E6" s="23">
        <f>'Datos de partida'!C96</f>
        <v>0.75</v>
      </c>
      <c r="F6" s="23">
        <f>D6*E6</f>
        <v>900</v>
      </c>
      <c r="G6" s="23">
        <f>$E$18*F6</f>
        <v>516.29184100418411</v>
      </c>
      <c r="H6" s="23">
        <f>G6/C6</f>
        <v>0.10325836820083682</v>
      </c>
    </row>
    <row r="7" spans="1:16" s="1" customFormat="1" ht="30" x14ac:dyDescent="0.25">
      <c r="A7" s="174" t="s">
        <v>123</v>
      </c>
      <c r="B7" s="171">
        <f>'Datos de partida'!B21</f>
        <v>0.08</v>
      </c>
      <c r="C7" s="23">
        <f>'Datos de partida'!B53-'Datos de partida'!B55-'Datos de partida'!B56</f>
        <v>10000</v>
      </c>
      <c r="D7" s="23">
        <f t="shared" si="0"/>
        <v>800</v>
      </c>
      <c r="E7" s="23">
        <f>'Datos de partida'!C96</f>
        <v>0.75</v>
      </c>
      <c r="F7" s="2">
        <f t="shared" ref="F7:F11" si="1">D7*E7</f>
        <v>600</v>
      </c>
      <c r="G7" s="2">
        <f t="shared" ref="G7:G12" si="2">$E$18*F7</f>
        <v>344.19456066945611</v>
      </c>
      <c r="H7" s="2">
        <f>G7/C7</f>
        <v>3.441945606694561E-2</v>
      </c>
    </row>
    <row r="8" spans="1:16" s="1" customFormat="1" x14ac:dyDescent="0.25">
      <c r="A8" s="174" t="s">
        <v>49</v>
      </c>
      <c r="B8" s="75">
        <f>'Datos de partida'!B21</f>
        <v>0.08</v>
      </c>
      <c r="C8" s="2">
        <f>'Datos de partida'!B6</f>
        <v>5000</v>
      </c>
      <c r="D8" s="23">
        <f t="shared" si="0"/>
        <v>400</v>
      </c>
      <c r="E8" s="23">
        <f>'Datos de partida'!C96</f>
        <v>0.75</v>
      </c>
      <c r="F8" s="2">
        <f t="shared" si="1"/>
        <v>300</v>
      </c>
      <c r="G8" s="2">
        <f t="shared" si="2"/>
        <v>172.09728033472805</v>
      </c>
      <c r="H8" s="2">
        <f>G8/C8</f>
        <v>3.441945606694561E-2</v>
      </c>
    </row>
    <row r="9" spans="1:16" s="1" customFormat="1" x14ac:dyDescent="0.25">
      <c r="A9" s="174" t="s">
        <v>3</v>
      </c>
      <c r="B9" s="75">
        <f>'Datos de partida'!B22</f>
        <v>0.15</v>
      </c>
      <c r="C9" s="2">
        <f>'Datos de partida'!B7</f>
        <v>5200</v>
      </c>
      <c r="D9" s="23">
        <f t="shared" si="0"/>
        <v>780</v>
      </c>
      <c r="E9" s="23">
        <f>'Datos de partida'!C96</f>
        <v>0.75</v>
      </c>
      <c r="F9" s="2">
        <f t="shared" si="1"/>
        <v>585</v>
      </c>
      <c r="G9" s="2">
        <f t="shared" si="2"/>
        <v>335.58969665271968</v>
      </c>
      <c r="H9" s="2">
        <f t="shared" ref="H9:H10" si="3">G9/C9</f>
        <v>6.4536480125523016E-2</v>
      </c>
    </row>
    <row r="10" spans="1:16" s="1" customFormat="1" x14ac:dyDescent="0.25">
      <c r="A10" s="174" t="s">
        <v>44</v>
      </c>
      <c r="B10" s="75">
        <f>'Datos de partida'!B22</f>
        <v>0.15</v>
      </c>
      <c r="C10" s="2">
        <f>'Datos de partida'!B8</f>
        <v>6000</v>
      </c>
      <c r="D10" s="2">
        <f t="shared" si="0"/>
        <v>900</v>
      </c>
      <c r="E10" s="2">
        <f>'Datos de partida'!C96</f>
        <v>0.75</v>
      </c>
      <c r="F10" s="2">
        <f t="shared" si="1"/>
        <v>675</v>
      </c>
      <c r="G10" s="2">
        <f t="shared" si="2"/>
        <v>387.21888075313808</v>
      </c>
      <c r="H10" s="2">
        <f t="shared" si="3"/>
        <v>6.4536480125523016E-2</v>
      </c>
    </row>
    <row r="11" spans="1:16" s="1" customFormat="1" ht="15.75" thickBot="1" x14ac:dyDescent="0.3">
      <c r="A11" s="175" t="s">
        <v>127</v>
      </c>
      <c r="B11" s="172">
        <f>'Datos de partida'!B22</f>
        <v>0.15</v>
      </c>
      <c r="C11" s="78">
        <f>'Datos de partida'!B77-'Datos de partida'!B81</f>
        <v>400</v>
      </c>
      <c r="D11" s="78">
        <f t="shared" si="0"/>
        <v>60</v>
      </c>
      <c r="E11" s="78">
        <f>'Datos de partida'!C96</f>
        <v>0.75</v>
      </c>
      <c r="F11" s="78">
        <f t="shared" si="1"/>
        <v>45</v>
      </c>
      <c r="G11" s="78">
        <f t="shared" si="2"/>
        <v>25.814592050209207</v>
      </c>
      <c r="H11" s="2">
        <f>G11/C11</f>
        <v>6.4536480125523016E-2</v>
      </c>
    </row>
    <row r="12" spans="1:16" s="214" customFormat="1" ht="15.75" thickBot="1" x14ac:dyDescent="0.3">
      <c r="A12" s="315" t="s">
        <v>118</v>
      </c>
      <c r="B12" s="316"/>
      <c r="C12" s="317"/>
      <c r="D12" s="209">
        <f>SUM(D6:D11)</f>
        <v>4140</v>
      </c>
      <c r="E12" s="210">
        <f>'Datos de partida'!C96</f>
        <v>0.75</v>
      </c>
      <c r="F12" s="211">
        <f>D12*E12</f>
        <v>3105</v>
      </c>
      <c r="G12" s="212">
        <f t="shared" si="2"/>
        <v>1781.2068514644352</v>
      </c>
      <c r="H12" s="213"/>
    </row>
    <row r="13" spans="1:16" s="1" customFormat="1" ht="45.75" thickBot="1" x14ac:dyDescent="0.3">
      <c r="A13" s="70"/>
      <c r="B13" s="240" t="s">
        <v>117</v>
      </c>
      <c r="C13" s="241" t="s">
        <v>24</v>
      </c>
      <c r="D13" s="242" t="s">
        <v>201</v>
      </c>
      <c r="E13" s="243" t="s">
        <v>113</v>
      </c>
      <c r="F13" s="244" t="s">
        <v>202</v>
      </c>
      <c r="G13" s="239" t="s">
        <v>121</v>
      </c>
      <c r="H13" s="20"/>
    </row>
    <row r="14" spans="1:16" ht="15.75" thickBot="1" x14ac:dyDescent="0.3">
      <c r="A14" s="71" t="s">
        <v>1</v>
      </c>
      <c r="B14" s="72">
        <f>D14/C14</f>
        <v>0.06</v>
      </c>
      <c r="C14" s="73">
        <f>'Datos de partida'!B4</f>
        <v>10000</v>
      </c>
      <c r="D14" s="72">
        <f>'Datos de partida'!B17</f>
        <v>600</v>
      </c>
      <c r="E14" s="72">
        <f>'Datos de partida'!C103</f>
        <v>0.8</v>
      </c>
      <c r="F14" s="74">
        <f>D14*E14</f>
        <v>480</v>
      </c>
      <c r="G14" s="76">
        <f>E18*F14</f>
        <v>275.35564853556485</v>
      </c>
      <c r="H14" s="2">
        <f>G14/C14</f>
        <v>2.7535564853556484E-2</v>
      </c>
    </row>
    <row r="15" spans="1:16" s="5" customFormat="1" ht="15.75" thickBot="1" x14ac:dyDescent="0.3">
      <c r="A15" s="306" t="s">
        <v>119</v>
      </c>
      <c r="B15" s="307"/>
      <c r="C15" s="308"/>
      <c r="D15" s="215">
        <f>SUM(D14:D14)</f>
        <v>600</v>
      </c>
      <c r="E15" s="215">
        <f>E14</f>
        <v>0.8</v>
      </c>
      <c r="F15" s="215">
        <f>D15*E15</f>
        <v>480</v>
      </c>
      <c r="G15" s="215">
        <f>G14</f>
        <v>275.35564853556485</v>
      </c>
    </row>
    <row r="16" spans="1:16" s="5" customFormat="1" ht="15.75" thickBot="1" x14ac:dyDescent="0.3">
      <c r="A16" s="216" t="s">
        <v>64</v>
      </c>
      <c r="B16" s="217"/>
      <c r="C16" s="309"/>
      <c r="D16" s="307"/>
      <c r="E16" s="310"/>
      <c r="F16" s="218">
        <f>F12+F15</f>
        <v>3585</v>
      </c>
      <c r="G16" s="218">
        <f>G12+G15</f>
        <v>2056.5625</v>
      </c>
      <c r="H16" s="84"/>
    </row>
    <row r="17" spans="1:8" s="5" customFormat="1" ht="15.75" thickBot="1" x14ac:dyDescent="0.3"/>
    <row r="18" spans="1:8" s="5" customFormat="1" ht="15.75" thickBot="1" x14ac:dyDescent="0.3">
      <c r="A18" s="219" t="s">
        <v>120</v>
      </c>
      <c r="B18" s="220"/>
      <c r="C18" s="220"/>
      <c r="D18" s="221"/>
      <c r="E18" s="222">
        <f>'Apartado 2. Redistribución '!C14/'Apartado 3. Coste de producción'!F16</f>
        <v>0.57365760111576014</v>
      </c>
      <c r="F18" s="223" t="s">
        <v>144</v>
      </c>
    </row>
    <row r="19" spans="1:8" s="1" customFormat="1" ht="15.75" thickBot="1" x14ac:dyDescent="0.3"/>
    <row r="20" spans="1:8" s="1" customFormat="1" ht="15.75" thickBot="1" x14ac:dyDescent="0.3">
      <c r="A20" s="268" t="s">
        <v>124</v>
      </c>
      <c r="B20" s="298"/>
      <c r="C20" s="298"/>
      <c r="D20" s="298"/>
      <c r="E20" s="298"/>
      <c r="F20" s="298"/>
      <c r="G20" s="301"/>
      <c r="H20" s="302"/>
    </row>
    <row r="21" spans="1:8" s="1" customFormat="1" ht="60.75" thickBot="1" x14ac:dyDescent="0.3">
      <c r="A21" s="64"/>
      <c r="B21" s="245" t="s">
        <v>111</v>
      </c>
      <c r="C21" s="236" t="s">
        <v>24</v>
      </c>
      <c r="D21" s="246" t="s">
        <v>112</v>
      </c>
      <c r="E21" s="247" t="s">
        <v>113</v>
      </c>
      <c r="F21" s="239" t="s">
        <v>114</v>
      </c>
      <c r="G21" s="239" t="s">
        <v>125</v>
      </c>
      <c r="H21" s="239" t="s">
        <v>126</v>
      </c>
    </row>
    <row r="22" spans="1:8" s="1" customFormat="1" ht="30" x14ac:dyDescent="0.25">
      <c r="A22" s="77" t="s">
        <v>122</v>
      </c>
      <c r="B22" s="23">
        <f>B6</f>
        <v>0.24</v>
      </c>
      <c r="C22" s="23">
        <f>'Datos de partida'!B5</f>
        <v>5000</v>
      </c>
      <c r="D22" s="23">
        <f t="shared" ref="D22:D27" si="4">B22*C22</f>
        <v>1200</v>
      </c>
      <c r="E22" s="23">
        <f>'Datos de partida'!C96</f>
        <v>0.75</v>
      </c>
      <c r="F22" s="4">
        <f t="shared" ref="F22:F28" si="5">D22*E22</f>
        <v>900</v>
      </c>
      <c r="G22" s="4">
        <f>$E$34*F22</f>
        <v>566.50104602510453</v>
      </c>
      <c r="H22" s="4">
        <f>G22/C22</f>
        <v>0.1133002092050209</v>
      </c>
    </row>
    <row r="23" spans="1:8" s="1" customFormat="1" ht="30" x14ac:dyDescent="0.25">
      <c r="A23" s="77" t="s">
        <v>123</v>
      </c>
      <c r="B23" s="23">
        <f>'Datos de partida'!B21</f>
        <v>0.08</v>
      </c>
      <c r="C23" s="23">
        <f>C7</f>
        <v>10000</v>
      </c>
      <c r="D23" s="23">
        <f t="shared" si="4"/>
        <v>800</v>
      </c>
      <c r="E23" s="23">
        <f>'Datos de partida'!C96</f>
        <v>0.75</v>
      </c>
      <c r="F23" s="4">
        <f t="shared" si="5"/>
        <v>600</v>
      </c>
      <c r="G23" s="4">
        <f>$E$34*F23</f>
        <v>377.66736401673637</v>
      </c>
      <c r="H23" s="4">
        <f>G23/C23</f>
        <v>3.7766736401673634E-2</v>
      </c>
    </row>
    <row r="24" spans="1:8" s="1" customFormat="1" x14ac:dyDescent="0.25">
      <c r="A24" s="1" t="s">
        <v>49</v>
      </c>
      <c r="B24" s="2">
        <f>'Datos de partida'!B21</f>
        <v>0.08</v>
      </c>
      <c r="C24" s="68">
        <f>'Datos de partida'!B6</f>
        <v>5000</v>
      </c>
      <c r="D24" s="23">
        <f t="shared" si="4"/>
        <v>400</v>
      </c>
      <c r="E24" s="23">
        <f>'Datos de partida'!C96</f>
        <v>0.75</v>
      </c>
      <c r="F24" s="4">
        <f t="shared" si="5"/>
        <v>300</v>
      </c>
      <c r="G24" s="4">
        <f t="shared" ref="G24:G27" si="6">$E$34*F24</f>
        <v>188.83368200836819</v>
      </c>
      <c r="H24" s="4">
        <f>G24/C24</f>
        <v>3.7766736401673634E-2</v>
      </c>
    </row>
    <row r="25" spans="1:8" s="1" customFormat="1" x14ac:dyDescent="0.25">
      <c r="A25" s="77" t="s">
        <v>3</v>
      </c>
      <c r="B25" s="2">
        <f>'Datos de partida'!B22</f>
        <v>0.15</v>
      </c>
      <c r="C25" s="68">
        <f>'Datos de partida'!B7</f>
        <v>5200</v>
      </c>
      <c r="D25" s="23">
        <f t="shared" si="4"/>
        <v>780</v>
      </c>
      <c r="E25" s="23">
        <f>'Datos de partida'!C96</f>
        <v>0.75</v>
      </c>
      <c r="F25" s="2">
        <f t="shared" si="5"/>
        <v>585</v>
      </c>
      <c r="G25" s="4">
        <f t="shared" si="6"/>
        <v>368.22567991631797</v>
      </c>
      <c r="H25" s="4">
        <f t="shared" ref="H25:H27" si="7">G25/C25</f>
        <v>7.0812630753138067E-2</v>
      </c>
    </row>
    <row r="26" spans="1:8" s="1" customFormat="1" x14ac:dyDescent="0.25">
      <c r="A26" s="7" t="s">
        <v>44</v>
      </c>
      <c r="B26" s="2">
        <f>'Datos de partida'!B22</f>
        <v>0.15</v>
      </c>
      <c r="C26" s="68">
        <f>'Datos de partida'!B8</f>
        <v>6000</v>
      </c>
      <c r="D26" s="2">
        <f t="shared" si="4"/>
        <v>900</v>
      </c>
      <c r="E26" s="2">
        <f>'Datos de partida'!C96</f>
        <v>0.75</v>
      </c>
      <c r="F26" s="2">
        <f t="shared" si="5"/>
        <v>675</v>
      </c>
      <c r="G26" s="4">
        <f t="shared" si="6"/>
        <v>424.87578451882843</v>
      </c>
      <c r="H26" s="75">
        <f t="shared" si="7"/>
        <v>7.0812630753138067E-2</v>
      </c>
    </row>
    <row r="27" spans="1:8" s="1" customFormat="1" ht="15.75" thickBot="1" x14ac:dyDescent="0.3">
      <c r="A27" s="80" t="s">
        <v>127</v>
      </c>
      <c r="B27" s="78">
        <f>'Datos de partida'!B22</f>
        <v>0.15</v>
      </c>
      <c r="C27" s="79">
        <f>C11</f>
        <v>400</v>
      </c>
      <c r="D27" s="78">
        <f t="shared" si="4"/>
        <v>60</v>
      </c>
      <c r="E27" s="78">
        <f>'Datos de partida'!C96</f>
        <v>0.75</v>
      </c>
      <c r="F27" s="78">
        <f t="shared" si="5"/>
        <v>45</v>
      </c>
      <c r="G27" s="4">
        <f t="shared" si="6"/>
        <v>28.325052301255226</v>
      </c>
      <c r="H27" s="75">
        <f t="shared" si="7"/>
        <v>7.0812630753138067E-2</v>
      </c>
    </row>
    <row r="28" spans="1:8" s="198" customFormat="1" ht="15.75" thickBot="1" x14ac:dyDescent="0.3">
      <c r="A28" s="303" t="s">
        <v>118</v>
      </c>
      <c r="B28" s="304"/>
      <c r="C28" s="305"/>
      <c r="D28" s="249">
        <f>SUM(D22:D27)</f>
        <v>4140</v>
      </c>
      <c r="E28" s="249">
        <f>'Datos de partida'!C96</f>
        <v>0.75</v>
      </c>
      <c r="F28" s="250">
        <f t="shared" si="5"/>
        <v>3105</v>
      </c>
      <c r="G28" s="251">
        <f>$E$34*F28</f>
        <v>1954.4286087866108</v>
      </c>
      <c r="H28" s="252"/>
    </row>
    <row r="29" spans="1:8" s="1" customFormat="1" ht="60.75" thickBot="1" x14ac:dyDescent="0.3">
      <c r="A29" s="70"/>
      <c r="B29" s="240" t="s">
        <v>117</v>
      </c>
      <c r="C29" s="241" t="s">
        <v>24</v>
      </c>
      <c r="D29" s="242" t="s">
        <v>201</v>
      </c>
      <c r="E29" s="243" t="s">
        <v>113</v>
      </c>
      <c r="F29" s="244" t="s">
        <v>202</v>
      </c>
      <c r="G29" s="239" t="s">
        <v>125</v>
      </c>
      <c r="H29" s="239" t="s">
        <v>126</v>
      </c>
    </row>
    <row r="30" spans="1:8" s="1" customFormat="1" ht="15.75" thickBot="1" x14ac:dyDescent="0.3">
      <c r="A30" s="71" t="s">
        <v>1</v>
      </c>
      <c r="B30" s="72">
        <f>D30/C30</f>
        <v>0.06</v>
      </c>
      <c r="C30" s="73">
        <f>'Datos de partida'!B4</f>
        <v>10000</v>
      </c>
      <c r="D30" s="72">
        <f>'Datos de partida'!B17</f>
        <v>600</v>
      </c>
      <c r="E30" s="72">
        <f>'Datos de partida'!C103</f>
        <v>0.8</v>
      </c>
      <c r="F30" s="74">
        <f>D30*E30</f>
        <v>480</v>
      </c>
      <c r="G30" s="76">
        <f>E34*F30</f>
        <v>302.13389121338912</v>
      </c>
      <c r="H30" s="2">
        <f>G30/C30</f>
        <v>3.0213389121338911E-2</v>
      </c>
    </row>
    <row r="31" spans="1:8" s="5" customFormat="1" ht="15.75" thickBot="1" x14ac:dyDescent="0.3">
      <c r="A31" s="306" t="s">
        <v>119</v>
      </c>
      <c r="B31" s="307"/>
      <c r="C31" s="308"/>
      <c r="D31" s="215">
        <f>SUM(D30:D30)</f>
        <v>600</v>
      </c>
      <c r="E31" s="215">
        <f>E30</f>
        <v>0.8</v>
      </c>
      <c r="F31" s="215">
        <f>D31*E31</f>
        <v>480</v>
      </c>
      <c r="G31" s="215">
        <f>E34*F31</f>
        <v>302.13389121338912</v>
      </c>
    </row>
    <row r="32" spans="1:8" s="5" customFormat="1" ht="15.75" thickBot="1" x14ac:dyDescent="0.3">
      <c r="A32" s="216" t="s">
        <v>64</v>
      </c>
      <c r="B32" s="217"/>
      <c r="C32" s="309"/>
      <c r="D32" s="307"/>
      <c r="E32" s="310"/>
      <c r="F32" s="218">
        <f>F28+F31</f>
        <v>3585</v>
      </c>
      <c r="G32" s="218">
        <f>G28+G31</f>
        <v>2256.5625</v>
      </c>
      <c r="H32" s="84"/>
    </row>
    <row r="33" spans="1:16" s="5" customFormat="1" ht="15.75" thickBot="1" x14ac:dyDescent="0.3"/>
    <row r="34" spans="1:16" s="5" customFormat="1" ht="15.75" thickBot="1" x14ac:dyDescent="0.3">
      <c r="A34" s="219" t="s">
        <v>128</v>
      </c>
      <c r="B34" s="220"/>
      <c r="C34" s="220"/>
      <c r="D34" s="224"/>
      <c r="E34" s="225">
        <f>'Apartado 2. Redistribución '!D14/'Apartado 3. Coste de producción'!F32</f>
        <v>0.62944560669456062</v>
      </c>
      <c r="F34" s="223" t="s">
        <v>144</v>
      </c>
    </row>
    <row r="36" spans="1:16" s="1" customFormat="1" x14ac:dyDescent="0.25">
      <c r="A36" s="296" t="s">
        <v>129</v>
      </c>
      <c r="B36" s="297"/>
      <c r="C36" s="297"/>
      <c r="D36" s="297"/>
      <c r="E36" s="297"/>
      <c r="F36" s="297"/>
      <c r="G36" s="297"/>
      <c r="H36" s="297"/>
    </row>
    <row r="37" spans="1:16" s="1" customFormat="1" x14ac:dyDescent="0.25">
      <c r="A37" s="82"/>
      <c r="B37" s="82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</row>
    <row r="38" spans="1:16" x14ac:dyDescent="0.25">
      <c r="B38" s="248" t="s">
        <v>131</v>
      </c>
      <c r="C38" s="248" t="s">
        <v>104</v>
      </c>
      <c r="D38" s="248" t="s">
        <v>133</v>
      </c>
    </row>
    <row r="39" spans="1:16" x14ac:dyDescent="0.25">
      <c r="A39" s="7" t="s">
        <v>130</v>
      </c>
      <c r="B39" s="32">
        <f>D28</f>
        <v>4140</v>
      </c>
      <c r="C39" s="32">
        <f>D31</f>
        <v>600</v>
      </c>
      <c r="D39" s="32">
        <f>C39+B39</f>
        <v>4740</v>
      </c>
    </row>
    <row r="41" spans="1:16" x14ac:dyDescent="0.25">
      <c r="A41" s="7" t="s">
        <v>134</v>
      </c>
      <c r="B41" s="29">
        <f>'Apartado 2. Redistribución '!E14</f>
        <v>5986.3645833333339</v>
      </c>
    </row>
    <row r="42" spans="1:16" ht="15.75" thickBot="1" x14ac:dyDescent="0.3"/>
    <row r="43" spans="1:16" s="5" customFormat="1" ht="15.75" thickBot="1" x14ac:dyDescent="0.3">
      <c r="A43" s="219" t="s">
        <v>132</v>
      </c>
      <c r="B43" s="220"/>
      <c r="C43" s="220"/>
      <c r="D43" s="224"/>
      <c r="E43" s="225">
        <f>B41/D39</f>
        <v>1.2629461146272856</v>
      </c>
      <c r="F43" s="223" t="s">
        <v>145</v>
      </c>
    </row>
    <row r="46" spans="1:16" x14ac:dyDescent="0.25">
      <c r="A46" s="296" t="s">
        <v>137</v>
      </c>
      <c r="B46" s="297"/>
      <c r="C46" s="297"/>
      <c r="D46" s="297"/>
      <c r="E46" s="297"/>
      <c r="F46" s="297"/>
      <c r="G46" s="297"/>
      <c r="H46" s="297"/>
      <c r="I46" s="1"/>
      <c r="J46" s="1"/>
      <c r="K46" s="1"/>
      <c r="L46" s="1"/>
      <c r="M46" s="1"/>
      <c r="N46" s="1"/>
      <c r="O46" s="1"/>
      <c r="P46" s="1"/>
    </row>
    <row r="47" spans="1:16" x14ac:dyDescent="0.25">
      <c r="A47" s="83"/>
      <c r="B47" s="83"/>
      <c r="C47" s="84"/>
      <c r="D47" s="84"/>
      <c r="E47" s="84"/>
      <c r="F47" s="84"/>
      <c r="G47" s="81"/>
      <c r="H47" s="81"/>
      <c r="I47" s="81"/>
      <c r="J47" s="81"/>
      <c r="K47" s="81"/>
      <c r="L47" s="81"/>
      <c r="M47" s="81"/>
      <c r="N47" s="81"/>
      <c r="O47" s="81"/>
      <c r="P47" s="81"/>
    </row>
    <row r="48" spans="1:16" x14ac:dyDescent="0.25">
      <c r="A48" s="85"/>
      <c r="B48" s="86"/>
      <c r="C48" s="86"/>
      <c r="D48" s="86"/>
      <c r="E48" s="85"/>
      <c r="F48" s="85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25">
      <c r="A49" s="85"/>
      <c r="B49" s="318" t="s">
        <v>139</v>
      </c>
      <c r="C49" s="318" t="s">
        <v>205</v>
      </c>
      <c r="D49" s="318" t="s">
        <v>204</v>
      </c>
      <c r="E49" s="318" t="s">
        <v>93</v>
      </c>
      <c r="F49" s="320" t="s">
        <v>140</v>
      </c>
      <c r="G49" s="327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25">
      <c r="A50" s="85"/>
      <c r="B50" s="319"/>
      <c r="C50" s="319"/>
      <c r="D50" s="319" t="s">
        <v>135</v>
      </c>
      <c r="E50" s="319"/>
      <c r="F50" s="322" t="s">
        <v>136</v>
      </c>
      <c r="G50" s="328"/>
      <c r="H50" s="1"/>
      <c r="I50" s="1"/>
      <c r="J50" s="1"/>
      <c r="K50" s="1"/>
      <c r="L50" s="1"/>
      <c r="M50" s="1"/>
      <c r="N50" s="1"/>
      <c r="O50" s="1"/>
      <c r="P50" s="1"/>
    </row>
    <row r="51" spans="1:16" ht="15.75" thickBot="1" x14ac:dyDescent="0.3">
      <c r="A51" s="91" t="s">
        <v>1</v>
      </c>
      <c r="B51" s="93">
        <f>D30</f>
        <v>600</v>
      </c>
      <c r="C51" s="94">
        <f>'Datos de partida'!B46</f>
        <v>18</v>
      </c>
      <c r="D51" s="94">
        <f>B51*C51</f>
        <v>10800</v>
      </c>
      <c r="E51" s="94">
        <f>$E$57*D51</f>
        <v>1335.9977304469273</v>
      </c>
      <c r="F51" s="231">
        <f>E51/B51</f>
        <v>2.2266628840782121</v>
      </c>
      <c r="G51" s="232" t="s">
        <v>146</v>
      </c>
      <c r="H51" s="1"/>
      <c r="I51" s="1"/>
      <c r="J51" s="1"/>
      <c r="K51" s="1"/>
      <c r="L51" s="1"/>
      <c r="M51" s="1"/>
      <c r="N51" s="1"/>
      <c r="O51" s="1"/>
      <c r="P51" s="1"/>
    </row>
    <row r="52" spans="1:16" ht="15.75" thickBot="1" x14ac:dyDescent="0.3">
      <c r="A52" s="92" t="s">
        <v>69</v>
      </c>
      <c r="B52" s="93">
        <f>SUM(D22:D24)</f>
        <v>2400</v>
      </c>
      <c r="C52" s="94">
        <f>'Datos de partida'!B47</f>
        <v>10</v>
      </c>
      <c r="D52" s="94">
        <f t="shared" ref="D52:D54" si="8">B52*C52</f>
        <v>24000</v>
      </c>
      <c r="E52" s="94">
        <f>$E$57*D52</f>
        <v>2968.8838454376164</v>
      </c>
      <c r="F52" s="225">
        <f t="shared" ref="F52:F54" si="9">E52/B52</f>
        <v>1.2370349355990069</v>
      </c>
      <c r="G52" s="232" t="s">
        <v>146</v>
      </c>
      <c r="H52" s="1"/>
      <c r="I52" s="1"/>
      <c r="J52" s="1"/>
      <c r="K52" s="1"/>
      <c r="L52" s="1"/>
      <c r="M52" s="1"/>
      <c r="N52" s="1"/>
      <c r="O52" s="1"/>
      <c r="P52" s="1"/>
    </row>
    <row r="53" spans="1:16" ht="15.75" thickBot="1" x14ac:dyDescent="0.3">
      <c r="A53" s="91" t="s">
        <v>70</v>
      </c>
      <c r="B53" s="93">
        <f>D24</f>
        <v>400</v>
      </c>
      <c r="C53" s="94">
        <f>'Datos de partida'!B48</f>
        <v>5</v>
      </c>
      <c r="D53" s="94">
        <f t="shared" si="8"/>
        <v>2000</v>
      </c>
      <c r="E53" s="94">
        <f>$E$57*D53</f>
        <v>247.40698711980136</v>
      </c>
      <c r="F53" s="225">
        <f t="shared" si="9"/>
        <v>0.61851746779950334</v>
      </c>
      <c r="G53" s="232" t="s">
        <v>146</v>
      </c>
      <c r="H53" s="1"/>
      <c r="I53" s="1"/>
      <c r="J53" s="1"/>
      <c r="K53" s="1"/>
      <c r="L53" s="1"/>
      <c r="M53" s="1"/>
      <c r="N53" s="1"/>
      <c r="O53" s="1"/>
      <c r="P53" s="1"/>
    </row>
    <row r="54" spans="1:16" ht="15.75" thickBot="1" x14ac:dyDescent="0.3">
      <c r="A54" s="91" t="s">
        <v>67</v>
      </c>
      <c r="B54" s="93">
        <f>D25+D26+D27</f>
        <v>1740</v>
      </c>
      <c r="C54" s="94">
        <f>'Datos de partida'!B49</f>
        <v>20</v>
      </c>
      <c r="D54" s="94">
        <f t="shared" si="8"/>
        <v>34800</v>
      </c>
      <c r="E54" s="94">
        <f>$E$57*D54</f>
        <v>4304.881575884544</v>
      </c>
      <c r="F54" s="225">
        <f t="shared" si="9"/>
        <v>2.4740698711980138</v>
      </c>
      <c r="G54" s="232" t="s">
        <v>146</v>
      </c>
    </row>
    <row r="55" spans="1:16" x14ac:dyDescent="0.25">
      <c r="A55" s="85"/>
      <c r="B55" s="85"/>
      <c r="C55" s="85"/>
      <c r="D55" s="90">
        <f>SUM(D51:D54)</f>
        <v>71600</v>
      </c>
      <c r="E55" s="90">
        <f>SUM(E51:E54)</f>
        <v>8857.1701388888905</v>
      </c>
      <c r="F55" s="85"/>
    </row>
    <row r="56" spans="1:16" ht="15.75" thickBot="1" x14ac:dyDescent="0.3"/>
    <row r="57" spans="1:16" s="5" customFormat="1" ht="15.75" thickBot="1" x14ac:dyDescent="0.3">
      <c r="A57" s="219" t="s">
        <v>206</v>
      </c>
      <c r="B57" s="220"/>
      <c r="C57" s="220"/>
      <c r="D57" s="224"/>
      <c r="E57" s="225">
        <f>'Apartado 2. Redistribución '!F14/'Apartado 3. Coste de producción'!D55</f>
        <v>0.12370349355990068</v>
      </c>
      <c r="F57" s="226" t="s">
        <v>207</v>
      </c>
    </row>
    <row r="59" spans="1:16" s="1" customFormat="1" x14ac:dyDescent="0.25">
      <c r="A59" s="296" t="s">
        <v>141</v>
      </c>
      <c r="B59" s="297"/>
      <c r="C59" s="297"/>
      <c r="D59" s="297"/>
      <c r="E59" s="297"/>
      <c r="F59" s="297"/>
      <c r="G59" s="297"/>
      <c r="H59" s="297"/>
    </row>
    <row r="60" spans="1:16" s="1" customFormat="1" x14ac:dyDescent="0.25">
      <c r="A60" s="83"/>
      <c r="B60" s="83"/>
      <c r="C60" s="84"/>
      <c r="D60" s="84"/>
      <c r="E60" s="84"/>
      <c r="F60" s="84"/>
      <c r="G60" s="81"/>
      <c r="H60" s="81"/>
      <c r="I60" s="81"/>
      <c r="J60" s="81"/>
      <c r="K60" s="81"/>
      <c r="L60" s="81"/>
      <c r="M60" s="81"/>
      <c r="N60" s="81"/>
      <c r="O60" s="81"/>
      <c r="P60" s="81"/>
    </row>
    <row r="61" spans="1:16" s="1" customFormat="1" x14ac:dyDescent="0.25">
      <c r="B61" s="248" t="s">
        <v>131</v>
      </c>
      <c r="C61" s="14"/>
      <c r="D61" s="14"/>
      <c r="F61" s="85"/>
    </row>
    <row r="62" spans="1:16" s="1" customFormat="1" ht="15" customHeight="1" x14ac:dyDescent="0.25">
      <c r="A62" s="7" t="s">
        <v>142</v>
      </c>
      <c r="B62" s="32">
        <f>'Datos de partida'!B31</f>
        <v>30000</v>
      </c>
      <c r="C62" s="96"/>
      <c r="D62" s="96"/>
      <c r="F62" s="329"/>
    </row>
    <row r="63" spans="1:16" s="1" customFormat="1" x14ac:dyDescent="0.25">
      <c r="F63" s="329"/>
    </row>
    <row r="64" spans="1:16" s="1" customFormat="1" x14ac:dyDescent="0.25">
      <c r="A64" s="7" t="s">
        <v>143</v>
      </c>
      <c r="B64" s="29">
        <f>'Apartado 2. Redistribución '!G14</f>
        <v>2420.1458333333335</v>
      </c>
      <c r="F64" s="89"/>
    </row>
    <row r="65" spans="1:16" s="1" customFormat="1" ht="15.75" thickBot="1" x14ac:dyDescent="0.3">
      <c r="F65" s="89"/>
    </row>
    <row r="66" spans="1:16" s="5" customFormat="1" ht="15.75" thickBot="1" x14ac:dyDescent="0.3">
      <c r="A66" s="219" t="s">
        <v>203</v>
      </c>
      <c r="B66" s="220"/>
      <c r="C66" s="220"/>
      <c r="D66" s="224"/>
      <c r="E66" s="225">
        <f>B64/B62</f>
        <v>8.0671527777777779E-2</v>
      </c>
      <c r="F66" s="223" t="s">
        <v>147</v>
      </c>
    </row>
    <row r="67" spans="1:16" s="1" customFormat="1" x14ac:dyDescent="0.25"/>
    <row r="68" spans="1:16" s="1" customFormat="1" x14ac:dyDescent="0.25"/>
    <row r="69" spans="1:16" s="1" customFormat="1" x14ac:dyDescent="0.25"/>
    <row r="70" spans="1:16" x14ac:dyDescent="0.25">
      <c r="A70" s="296" t="s">
        <v>148</v>
      </c>
      <c r="B70" s="297"/>
      <c r="C70" s="297"/>
      <c r="D70" s="297"/>
      <c r="E70" s="297"/>
      <c r="F70" s="297"/>
      <c r="G70" s="297"/>
      <c r="H70" s="297"/>
      <c r="I70" s="1"/>
      <c r="J70" s="1"/>
      <c r="K70" s="1"/>
      <c r="L70" s="1"/>
      <c r="M70" s="1"/>
      <c r="N70" s="1"/>
      <c r="O70" s="1"/>
      <c r="P70" s="1"/>
    </row>
    <row r="71" spans="1:16" x14ac:dyDescent="0.25">
      <c r="A71" s="83"/>
      <c r="B71" s="83"/>
      <c r="C71" s="84"/>
      <c r="D71" s="84"/>
      <c r="E71" s="84"/>
      <c r="F71" s="84"/>
      <c r="G71" s="81"/>
      <c r="H71" s="81"/>
      <c r="I71" s="81"/>
      <c r="J71" s="81"/>
      <c r="K71" s="81"/>
      <c r="L71" s="81"/>
      <c r="M71" s="81"/>
      <c r="N71" s="81"/>
      <c r="O71" s="81"/>
      <c r="P71" s="81"/>
    </row>
    <row r="72" spans="1:16" s="31" customFormat="1" x14ac:dyDescent="0.25">
      <c r="A72" s="85"/>
      <c r="B72" s="318" t="s">
        <v>169</v>
      </c>
      <c r="C72" s="318" t="s">
        <v>138</v>
      </c>
      <c r="D72" s="318" t="s">
        <v>165</v>
      </c>
      <c r="E72" s="318" t="s">
        <v>93</v>
      </c>
      <c r="F72" s="320" t="s">
        <v>168</v>
      </c>
      <c r="G72" s="321"/>
    </row>
    <row r="73" spans="1:16" s="31" customFormat="1" ht="15" customHeight="1" x14ac:dyDescent="0.25">
      <c r="A73" s="85"/>
      <c r="B73" s="319"/>
      <c r="C73" s="319"/>
      <c r="D73" s="319" t="s">
        <v>135</v>
      </c>
      <c r="E73" s="319"/>
      <c r="F73" s="322" t="s">
        <v>136</v>
      </c>
      <c r="G73" s="323"/>
    </row>
    <row r="74" spans="1:16" s="31" customFormat="1" ht="15.75" thickBot="1" x14ac:dyDescent="0.3">
      <c r="A74" s="77" t="s">
        <v>3</v>
      </c>
      <c r="B74" s="93">
        <f>'Datos de partida'!B63</f>
        <v>5200</v>
      </c>
      <c r="C74" s="94">
        <f>'Datos de partida'!C63:D63</f>
        <v>0.5</v>
      </c>
      <c r="D74" s="94">
        <f>B74*C74</f>
        <v>2600</v>
      </c>
      <c r="E74" s="94">
        <f>$E$78*D74</f>
        <v>1383.5621141975309</v>
      </c>
      <c r="F74" s="231">
        <f>E74/B74</f>
        <v>0.26606963734567901</v>
      </c>
      <c r="G74" s="232" t="s">
        <v>150</v>
      </c>
    </row>
    <row r="75" spans="1:16" s="31" customFormat="1" ht="15.75" thickBot="1" x14ac:dyDescent="0.3">
      <c r="A75" s="7" t="s">
        <v>44</v>
      </c>
      <c r="B75" s="93">
        <f>'Datos de partida'!B62</f>
        <v>6400</v>
      </c>
      <c r="C75" s="94">
        <f>'Datos de partida'!C62:D62</f>
        <v>1</v>
      </c>
      <c r="D75" s="94">
        <f t="shared" ref="D75" si="10">B75*C75</f>
        <v>6400</v>
      </c>
      <c r="E75" s="94">
        <f>$E$78*D75</f>
        <v>3405.6913580246915</v>
      </c>
      <c r="F75" s="225">
        <f t="shared" ref="F75" si="11">E75/B75</f>
        <v>0.53213927469135802</v>
      </c>
      <c r="G75" s="232" t="s">
        <v>150</v>
      </c>
    </row>
    <row r="76" spans="1:16" s="31" customFormat="1" x14ac:dyDescent="0.25">
      <c r="A76" s="85"/>
      <c r="B76" s="85"/>
      <c r="C76" s="85"/>
      <c r="D76" s="90">
        <f>SUM(D74:D75)</f>
        <v>9000</v>
      </c>
      <c r="E76" s="90">
        <f>SUM(E74:E75)</f>
        <v>4789.2534722222226</v>
      </c>
      <c r="F76" s="85"/>
      <c r="G76" s="1"/>
    </row>
    <row r="77" spans="1:16" s="31" customFormat="1" ht="15.75" thickBot="1" x14ac:dyDescent="0.3">
      <c r="A77" s="1"/>
      <c r="B77" s="1"/>
      <c r="C77" s="1"/>
      <c r="D77" s="1"/>
      <c r="E77" s="1"/>
      <c r="F77" s="1"/>
      <c r="G77" s="1"/>
    </row>
    <row r="78" spans="1:16" s="5" customFormat="1" ht="15.75" thickBot="1" x14ac:dyDescent="0.3">
      <c r="B78" s="219" t="s">
        <v>208</v>
      </c>
      <c r="C78" s="220"/>
      <c r="D78" s="220"/>
      <c r="E78" s="227">
        <f>'Apartado 2. Redistribución '!H14/'Apartado 3. Coste de producción'!D76</f>
        <v>0.53213927469135802</v>
      </c>
    </row>
    <row r="79" spans="1:16" s="85" customFormat="1" x14ac:dyDescent="0.25">
      <c r="B79" s="95"/>
      <c r="C79" s="87"/>
      <c r="D79" s="87"/>
      <c r="E79" s="88"/>
    </row>
    <row r="80" spans="1:16" s="85" customFormat="1" x14ac:dyDescent="0.25">
      <c r="B80" s="95"/>
      <c r="C80" s="87"/>
      <c r="D80" s="87"/>
      <c r="E80" s="88"/>
    </row>
    <row r="81" spans="1:16" s="1" customFormat="1" x14ac:dyDescent="0.25">
      <c r="A81" s="296" t="s">
        <v>151</v>
      </c>
      <c r="B81" s="297"/>
      <c r="C81" s="297"/>
      <c r="D81" s="297"/>
      <c r="E81" s="297"/>
      <c r="F81" s="297"/>
      <c r="G81" s="297"/>
      <c r="H81" s="297"/>
      <c r="I81" s="95"/>
      <c r="J81" s="95"/>
      <c r="K81" s="95"/>
      <c r="L81" s="95"/>
      <c r="M81" s="95"/>
      <c r="N81" s="95"/>
      <c r="O81" s="95"/>
      <c r="P81" s="95"/>
    </row>
    <row r="82" spans="1:16" s="1" customFormat="1" x14ac:dyDescent="0.25">
      <c r="A82" s="83"/>
      <c r="B82" s="83"/>
      <c r="C82" s="84"/>
      <c r="D82" s="84"/>
      <c r="E82" s="84"/>
      <c r="F82" s="84"/>
      <c r="G82" s="81"/>
      <c r="H82" s="81"/>
      <c r="I82" s="81"/>
      <c r="J82" s="81"/>
      <c r="K82" s="81"/>
      <c r="L82" s="81"/>
      <c r="M82" s="81"/>
      <c r="N82" s="81"/>
      <c r="O82" s="81"/>
      <c r="P82" s="81"/>
    </row>
    <row r="83" spans="1:16" s="31" customFormat="1" x14ac:dyDescent="0.25">
      <c r="A83" s="85"/>
      <c r="B83" s="318" t="s">
        <v>153</v>
      </c>
      <c r="C83" s="318" t="s">
        <v>138</v>
      </c>
      <c r="D83" s="318" t="s">
        <v>165</v>
      </c>
      <c r="E83" s="318" t="s">
        <v>93</v>
      </c>
      <c r="F83" s="320" t="s">
        <v>167</v>
      </c>
      <c r="G83" s="321"/>
    </row>
    <row r="84" spans="1:16" s="31" customFormat="1" ht="15" customHeight="1" x14ac:dyDescent="0.25">
      <c r="A84" s="85"/>
      <c r="B84" s="319"/>
      <c r="C84" s="319"/>
      <c r="D84" s="319" t="s">
        <v>135</v>
      </c>
      <c r="E84" s="319"/>
      <c r="F84" s="322" t="s">
        <v>136</v>
      </c>
      <c r="G84" s="323"/>
    </row>
    <row r="85" spans="1:16" s="31" customFormat="1" ht="15.75" thickBot="1" x14ac:dyDescent="0.3">
      <c r="A85" s="77" t="s">
        <v>3</v>
      </c>
      <c r="B85" s="93">
        <f>'Datos de partida'!B82</f>
        <v>5200</v>
      </c>
      <c r="C85" s="94">
        <f>'Datos de partida'!C82:E82</f>
        <v>3</v>
      </c>
      <c r="D85" s="94">
        <f>B85*C85</f>
        <v>15600</v>
      </c>
      <c r="E85" s="94">
        <f>$E$90*D85</f>
        <v>1199.6306529471544</v>
      </c>
      <c r="F85" s="231">
        <f>E85/B85</f>
        <v>0.23069820248983738</v>
      </c>
      <c r="G85" s="232" t="s">
        <v>150</v>
      </c>
    </row>
    <row r="86" spans="1:16" s="31" customFormat="1" ht="15.75" thickBot="1" x14ac:dyDescent="0.3">
      <c r="A86" s="7" t="s">
        <v>44</v>
      </c>
      <c r="B86" s="93">
        <f>'Datos de partida'!B81</f>
        <v>6000</v>
      </c>
      <c r="C86" s="94">
        <f>'Datos de partida'!C81:E81</f>
        <v>5</v>
      </c>
      <c r="D86" s="94">
        <f t="shared" ref="D86:D87" si="12">B86*C86</f>
        <v>30000</v>
      </c>
      <c r="E86" s="94">
        <f t="shared" ref="E86:E87" si="13">$E$90*D86</f>
        <v>2306.9820248983738</v>
      </c>
      <c r="F86" s="225">
        <f t="shared" ref="F86" si="14">E86/B86</f>
        <v>0.38449700414972898</v>
      </c>
      <c r="G86" s="232" t="s">
        <v>150</v>
      </c>
    </row>
    <row r="87" spans="1:16" s="31" customFormat="1" ht="15.75" thickBot="1" x14ac:dyDescent="0.3">
      <c r="A87" s="97" t="s">
        <v>10</v>
      </c>
      <c r="B87" s="93">
        <f>'Datos de partida'!B80</f>
        <v>5000</v>
      </c>
      <c r="C87" s="94">
        <f>'Datos de partida'!C80:E80</f>
        <v>4</v>
      </c>
      <c r="D87" s="94">
        <f t="shared" si="12"/>
        <v>20000</v>
      </c>
      <c r="E87" s="94">
        <f t="shared" si="13"/>
        <v>1537.9880165989159</v>
      </c>
      <c r="F87" s="225">
        <f t="shared" ref="F87" si="15">E87/B87</f>
        <v>0.3075976033197832</v>
      </c>
      <c r="G87" s="232" t="s">
        <v>154</v>
      </c>
    </row>
    <row r="88" spans="1:16" s="31" customFormat="1" x14ac:dyDescent="0.25">
      <c r="A88" s="1"/>
      <c r="B88" s="1"/>
      <c r="C88" s="1"/>
      <c r="D88" s="98">
        <f>SUM(D85:D87)</f>
        <v>65600</v>
      </c>
      <c r="E88" s="98">
        <f>SUM(E85:E87)</f>
        <v>5044.6006944444443</v>
      </c>
      <c r="F88" s="1"/>
      <c r="G88" s="1"/>
    </row>
    <row r="89" spans="1:16" s="31" customFormat="1" ht="15.75" thickBot="1" x14ac:dyDescent="0.3">
      <c r="A89" s="1"/>
      <c r="B89" s="1"/>
      <c r="C89" s="1"/>
      <c r="D89" s="98"/>
      <c r="E89" s="1"/>
      <c r="F89" s="1"/>
      <c r="G89" s="1"/>
    </row>
    <row r="90" spans="1:16" s="5" customFormat="1" ht="15.75" thickBot="1" x14ac:dyDescent="0.3">
      <c r="B90" s="219" t="s">
        <v>208</v>
      </c>
      <c r="C90" s="220"/>
      <c r="D90" s="220"/>
      <c r="E90" s="227">
        <f>'Apartado 2. Redistribución '!I14/'Apartado 3. Coste de producción'!D88</f>
        <v>7.6899400829945799E-2</v>
      </c>
    </row>
    <row r="91" spans="1:16" s="1" customFormat="1" x14ac:dyDescent="0.25">
      <c r="B91" s="95"/>
      <c r="C91" s="87"/>
      <c r="D91" s="87"/>
      <c r="E91" s="87"/>
    </row>
    <row r="92" spans="1:16" s="1" customFormat="1" x14ac:dyDescent="0.25">
      <c r="A92" s="296" t="s">
        <v>155</v>
      </c>
      <c r="B92" s="297"/>
      <c r="C92" s="297"/>
      <c r="D92" s="297"/>
      <c r="E92" s="297"/>
      <c r="F92" s="297"/>
      <c r="G92" s="297"/>
      <c r="H92" s="297"/>
      <c r="I92" s="297"/>
    </row>
    <row r="93" spans="1:16" s="5" customFormat="1" ht="15.75" thickBot="1" x14ac:dyDescent="0.3">
      <c r="B93" s="95"/>
      <c r="C93" s="87"/>
      <c r="D93" s="87"/>
      <c r="E93" s="88"/>
    </row>
    <row r="94" spans="1:16" s="5" customFormat="1" ht="15.75" thickBot="1" x14ac:dyDescent="0.3">
      <c r="C94" s="324" t="s">
        <v>103</v>
      </c>
      <c r="D94" s="299"/>
      <c r="E94" s="299"/>
      <c r="F94" s="299"/>
      <c r="G94" s="299"/>
      <c r="H94" s="300"/>
    </row>
    <row r="95" spans="1:16" x14ac:dyDescent="0.25">
      <c r="C95" s="62"/>
      <c r="D95" s="62"/>
      <c r="E95" s="62"/>
      <c r="F95" s="28"/>
      <c r="G95" s="311"/>
      <c r="H95" s="311"/>
    </row>
    <row r="96" spans="1:16" ht="60" x14ac:dyDescent="0.25">
      <c r="C96" s="62"/>
      <c r="D96" s="233" t="str">
        <f>'Datos de partida'!A4</f>
        <v>BAGUETTE INTEGRAL (BI)</v>
      </c>
      <c r="E96" s="233" t="str">
        <f>'Datos de partida'!A5</f>
        <v>BAGUETTE PRECOCIDA CONGELADA (BC)</v>
      </c>
      <c r="F96" s="233" t="str">
        <f>'Datos de partida'!A6</f>
        <v>BAGUETTE (B)</v>
      </c>
      <c r="G96" s="233" t="str">
        <f>'Datos de partida'!A7</f>
        <v>MOLDE CON CORTEZA (MC)</v>
      </c>
      <c r="H96" s="234" t="str">
        <f>'Datos de partida'!A8</f>
        <v>MOLDE SIN CORTEZA (MSC)</v>
      </c>
    </row>
    <row r="97" spans="2:8" ht="15.75" thickBot="1" x14ac:dyDescent="0.3">
      <c r="B97" s="31"/>
      <c r="C97" s="179"/>
      <c r="D97" s="28"/>
      <c r="E97" s="62"/>
      <c r="F97" s="28"/>
      <c r="G97" s="28"/>
      <c r="H97" s="63"/>
    </row>
    <row r="98" spans="2:8" x14ac:dyDescent="0.25">
      <c r="B98" s="312" t="s">
        <v>108</v>
      </c>
      <c r="C98" s="99" t="s">
        <v>105</v>
      </c>
      <c r="D98" s="107"/>
      <c r="E98" s="267">
        <f>'Datos de partida'!B21*'Datos de partida'!D11/'Datos de partida'!B11*'Datos de partida'!C96</f>
        <v>0.18</v>
      </c>
      <c r="F98" s="107">
        <f>'Datos de partida'!B21*'Datos de partida'!C96</f>
        <v>0.06</v>
      </c>
      <c r="G98" s="107">
        <f>'Datos de partida'!B22*'Datos de partida'!C96</f>
        <v>0.11249999999999999</v>
      </c>
      <c r="H98" s="108">
        <f>'Datos de partida'!B22*'Datos de partida'!C96</f>
        <v>0.11249999999999999</v>
      </c>
    </row>
    <row r="99" spans="2:8" x14ac:dyDescent="0.25">
      <c r="B99" s="313"/>
      <c r="C99" s="100" t="s">
        <v>106</v>
      </c>
      <c r="D99" s="109">
        <f>('Datos de partida'!B17/'Datos de partida'!B4)*'Datos de partida'!C103</f>
        <v>4.8000000000000001E-2</v>
      </c>
      <c r="E99" s="110"/>
      <c r="F99" s="110"/>
      <c r="G99" s="110"/>
      <c r="H99" s="111"/>
    </row>
    <row r="100" spans="2:8" ht="15.75" thickBot="1" x14ac:dyDescent="0.3">
      <c r="B100" s="314"/>
      <c r="C100" s="101" t="s">
        <v>107</v>
      </c>
      <c r="D100" s="112"/>
      <c r="E100" s="112">
        <f>1*'Datos de partida'!C117</f>
        <v>0.01</v>
      </c>
      <c r="F100" s="112"/>
      <c r="G100" s="112">
        <f>'Datos de partida'!C110</f>
        <v>0.05</v>
      </c>
      <c r="H100" s="113">
        <f>'Datos de partida'!C110</f>
        <v>0.05</v>
      </c>
    </row>
    <row r="101" spans="2:8" x14ac:dyDescent="0.25">
      <c r="B101" s="312" t="s">
        <v>157</v>
      </c>
      <c r="C101" s="103" t="str">
        <f t="array" ref="C101:C107">TRANSPOSE('Apartado 2. Redistribución '!C7:I7)</f>
        <v>Transporte materias primas</v>
      </c>
      <c r="D101" s="107">
        <f>H14</f>
        <v>2.7535564853556484E-2</v>
      </c>
      <c r="E101" s="107">
        <f>H6</f>
        <v>0.10325836820083682</v>
      </c>
      <c r="F101" s="107">
        <f>H8</f>
        <v>3.441945606694561E-2</v>
      </c>
      <c r="G101" s="114">
        <f>H9</f>
        <v>6.4536480125523016E-2</v>
      </c>
      <c r="H101" s="108">
        <f>H10</f>
        <v>6.4536480125523016E-2</v>
      </c>
    </row>
    <row r="102" spans="2:8" ht="30" x14ac:dyDescent="0.25">
      <c r="B102" s="313"/>
      <c r="C102" s="104" t="str">
        <v>Recepción y Conservación materias primas</v>
      </c>
      <c r="D102" s="115">
        <f>H30</f>
        <v>3.0213389121338911E-2</v>
      </c>
      <c r="E102" s="115">
        <f>H22</f>
        <v>0.1133002092050209</v>
      </c>
      <c r="F102" s="115">
        <f>H24</f>
        <v>3.7766736401673634E-2</v>
      </c>
      <c r="G102" s="115">
        <f>H25</f>
        <v>7.0812630753138067E-2</v>
      </c>
      <c r="H102" s="116">
        <f>H26</f>
        <v>7.0812630753138067E-2</v>
      </c>
    </row>
    <row r="103" spans="2:8" x14ac:dyDescent="0.25">
      <c r="B103" s="313"/>
      <c r="C103" s="105" t="str">
        <v>Moldeado</v>
      </c>
      <c r="D103" s="115">
        <f>E43*B30</f>
        <v>7.5776766877637125E-2</v>
      </c>
      <c r="E103" s="115">
        <f>E43*B6</f>
        <v>0.3031070675105485</v>
      </c>
      <c r="F103" s="115">
        <f>E43*B8</f>
        <v>0.10103568917018285</v>
      </c>
      <c r="G103" s="115">
        <f>E43*B25</f>
        <v>0.18944191719409284</v>
      </c>
      <c r="H103" s="116">
        <f>E43*B10</f>
        <v>0.18944191719409284</v>
      </c>
    </row>
    <row r="104" spans="2:8" x14ac:dyDescent="0.25">
      <c r="B104" s="325"/>
      <c r="C104" s="105" t="str">
        <v>Horneado</v>
      </c>
      <c r="D104" s="115">
        <f>F51*B14</f>
        <v>0.13359977304469273</v>
      </c>
      <c r="E104" s="115">
        <f>F52*'Datos de partida'!B21*'Datos de partida'!D11/'Datos de partida'!B11</f>
        <v>0.29688838454376171</v>
      </c>
      <c r="F104" s="115">
        <f>(F52+F53)*'Datos de partida'!B21</f>
        <v>0.14844419227188083</v>
      </c>
      <c r="G104" s="115">
        <f>F54*'Datos de partida'!B22</f>
        <v>0.37111048067970204</v>
      </c>
      <c r="H104" s="116">
        <f>F54*'Datos de partida'!B22</f>
        <v>0.37111048067970204</v>
      </c>
    </row>
    <row r="105" spans="2:8" x14ac:dyDescent="0.25">
      <c r="B105" s="325"/>
      <c r="C105" s="105" t="str">
        <v>Cámaras congelación</v>
      </c>
      <c r="D105" s="115"/>
      <c r="E105" s="115">
        <f>E66*'Datos de partida'!D11/'Datos de partida'!B11</f>
        <v>0.24201458333333334</v>
      </c>
      <c r="F105" s="115">
        <f>E66</f>
        <v>8.0671527777777779E-2</v>
      </c>
      <c r="G105" s="115"/>
      <c r="H105" s="116"/>
    </row>
    <row r="106" spans="2:8" x14ac:dyDescent="0.25">
      <c r="B106" s="325"/>
      <c r="C106" s="105" t="str">
        <v>Cortado</v>
      </c>
      <c r="D106" s="115"/>
      <c r="E106" s="115"/>
      <c r="F106" s="115"/>
      <c r="G106" s="115">
        <f>F74</f>
        <v>0.26606963734567901</v>
      </c>
      <c r="H106" s="116">
        <f>F75</f>
        <v>0.53213927469135802</v>
      </c>
    </row>
    <row r="107" spans="2:8" ht="15.75" thickBot="1" x14ac:dyDescent="0.3">
      <c r="B107" s="326"/>
      <c r="C107" s="106" t="str">
        <v>Empaquetado</v>
      </c>
      <c r="D107" s="117"/>
      <c r="E107" s="117">
        <f>F87</f>
        <v>0.3075976033197832</v>
      </c>
      <c r="F107" s="117"/>
      <c r="G107" s="117">
        <f>F85</f>
        <v>0.23069820248983738</v>
      </c>
      <c r="H107" s="118">
        <f>F86</f>
        <v>0.38449700414972898</v>
      </c>
    </row>
    <row r="108" spans="2:8" s="1" customFormat="1" ht="15.75" thickBot="1" x14ac:dyDescent="0.3">
      <c r="B108" s="69"/>
      <c r="C108" s="95"/>
      <c r="D108" s="85"/>
      <c r="E108" s="102"/>
      <c r="F108" s="85"/>
      <c r="G108" s="102"/>
      <c r="H108" s="102"/>
    </row>
    <row r="109" spans="2:8" s="5" customFormat="1" ht="15.75" thickBot="1" x14ac:dyDescent="0.3">
      <c r="C109" s="228" t="s">
        <v>158</v>
      </c>
      <c r="D109" s="229">
        <f>SUM(D98:D107)</f>
        <v>0.31512549389722522</v>
      </c>
      <c r="E109" s="229">
        <f>SUM(E98:E107)</f>
        <v>1.5561662161132845</v>
      </c>
      <c r="F109" s="229">
        <f t="shared" ref="F109:H109" si="16">SUM(F98:F107)</f>
        <v>0.46233760168846072</v>
      </c>
      <c r="G109" s="229">
        <f t="shared" si="16"/>
        <v>1.3551693485879723</v>
      </c>
      <c r="H109" s="230">
        <f t="shared" si="16"/>
        <v>1.775037787593543</v>
      </c>
    </row>
  </sheetData>
  <mergeCells count="35">
    <mergeCell ref="B101:B107"/>
    <mergeCell ref="A2:H2"/>
    <mergeCell ref="A36:H36"/>
    <mergeCell ref="A46:H46"/>
    <mergeCell ref="A59:H59"/>
    <mergeCell ref="A70:H70"/>
    <mergeCell ref="A81:H81"/>
    <mergeCell ref="A92:I92"/>
    <mergeCell ref="B83:B84"/>
    <mergeCell ref="C83:C84"/>
    <mergeCell ref="D83:D84"/>
    <mergeCell ref="E83:E84"/>
    <mergeCell ref="F83:G84"/>
    <mergeCell ref="F49:G50"/>
    <mergeCell ref="F62:F63"/>
    <mergeCell ref="B72:B73"/>
    <mergeCell ref="G95:H95"/>
    <mergeCell ref="B98:B100"/>
    <mergeCell ref="A12:C12"/>
    <mergeCell ref="A15:C15"/>
    <mergeCell ref="C16:E16"/>
    <mergeCell ref="D49:D50"/>
    <mergeCell ref="E49:E50"/>
    <mergeCell ref="B49:B50"/>
    <mergeCell ref="C49:C50"/>
    <mergeCell ref="C72:C73"/>
    <mergeCell ref="D72:D73"/>
    <mergeCell ref="E72:E73"/>
    <mergeCell ref="F72:G73"/>
    <mergeCell ref="C94:H94"/>
    <mergeCell ref="A4:H4"/>
    <mergeCell ref="A20:H20"/>
    <mergeCell ref="A28:C28"/>
    <mergeCell ref="A31:C31"/>
    <mergeCell ref="C32:E32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27"/>
  <sheetViews>
    <sheetView topLeftCell="A7" workbookViewId="0">
      <selection activeCell="I5" sqref="I5:K12"/>
    </sheetView>
  </sheetViews>
  <sheetFormatPr baseColWidth="10" defaultRowHeight="15" x14ac:dyDescent="0.25"/>
  <cols>
    <col min="1" max="1" width="30.140625" customWidth="1"/>
    <col min="2" max="2" width="16.5703125" customWidth="1"/>
    <col min="3" max="3" width="19.7109375" customWidth="1"/>
    <col min="4" max="4" width="21.140625" customWidth="1"/>
    <col min="5" max="5" width="17" customWidth="1"/>
    <col min="6" max="6" width="28" customWidth="1"/>
    <col min="9" max="9" width="32.140625" customWidth="1"/>
    <col min="10" max="10" width="21.42578125" customWidth="1"/>
    <col min="11" max="11" width="22" customWidth="1"/>
  </cols>
  <sheetData>
    <row r="4" spans="1:11" ht="15.75" thickBot="1" x14ac:dyDescent="0.3"/>
    <row r="5" spans="1:11" ht="57" thickBot="1" x14ac:dyDescent="0.3">
      <c r="A5" s="139" t="s">
        <v>42</v>
      </c>
      <c r="B5" s="140" t="s">
        <v>43</v>
      </c>
      <c r="C5" s="140" t="s">
        <v>176</v>
      </c>
      <c r="D5" s="140" t="s">
        <v>177</v>
      </c>
      <c r="E5" s="140" t="s">
        <v>178</v>
      </c>
      <c r="I5" s="139" t="s">
        <v>40</v>
      </c>
      <c r="J5" s="140" t="s">
        <v>93</v>
      </c>
      <c r="K5" s="140" t="s">
        <v>194</v>
      </c>
    </row>
    <row r="6" spans="1:11" ht="39" thickTop="1" thickBot="1" x14ac:dyDescent="0.3">
      <c r="A6" s="141" t="s">
        <v>26</v>
      </c>
      <c r="B6" s="150">
        <v>1800</v>
      </c>
      <c r="C6" s="142"/>
      <c r="D6" s="140">
        <v>50</v>
      </c>
      <c r="E6" s="155">
        <f>B6+C6+D6</f>
        <v>1850</v>
      </c>
      <c r="I6" s="141" t="s">
        <v>26</v>
      </c>
      <c r="J6" s="152">
        <v>2056.5625</v>
      </c>
      <c r="K6" s="176" t="s">
        <v>195</v>
      </c>
    </row>
    <row r="7" spans="1:11" ht="39" thickTop="1" thickBot="1" x14ac:dyDescent="0.3">
      <c r="A7" s="143" t="s">
        <v>179</v>
      </c>
      <c r="B7" s="151">
        <v>2000</v>
      </c>
      <c r="C7" s="144"/>
      <c r="D7" s="147">
        <v>50</v>
      </c>
      <c r="E7" s="155">
        <f t="shared" ref="E7:E19" si="0">B7+C7+D7</f>
        <v>2050</v>
      </c>
      <c r="I7" s="143" t="s">
        <v>179</v>
      </c>
      <c r="J7" s="151">
        <v>2256.5625</v>
      </c>
      <c r="K7" s="177" t="s">
        <v>195</v>
      </c>
    </row>
    <row r="8" spans="1:11" ht="24" thickBot="1" x14ac:dyDescent="0.3">
      <c r="A8" s="145" t="s">
        <v>28</v>
      </c>
      <c r="B8" s="152">
        <v>4500</v>
      </c>
      <c r="C8" s="146"/>
      <c r="D8" s="148">
        <v>50</v>
      </c>
      <c r="E8" s="155">
        <f t="shared" si="0"/>
        <v>4550</v>
      </c>
      <c r="I8" s="145" t="s">
        <v>28</v>
      </c>
      <c r="J8" s="152">
        <v>5986.3645833333339</v>
      </c>
      <c r="K8" s="178" t="s">
        <v>196</v>
      </c>
    </row>
    <row r="9" spans="1:11" ht="24" thickBot="1" x14ac:dyDescent="0.3">
      <c r="A9" s="143" t="s">
        <v>29</v>
      </c>
      <c r="B9" s="153">
        <v>6000</v>
      </c>
      <c r="C9" s="144"/>
      <c r="D9" s="149">
        <v>50</v>
      </c>
      <c r="E9" s="155">
        <f t="shared" si="0"/>
        <v>6050</v>
      </c>
      <c r="I9" s="143" t="s">
        <v>29</v>
      </c>
      <c r="J9" s="153">
        <v>8857.1701388888887</v>
      </c>
      <c r="K9" s="177" t="s">
        <v>197</v>
      </c>
    </row>
    <row r="10" spans="1:11" ht="43.5" thickTop="1" thickBot="1" x14ac:dyDescent="0.3">
      <c r="A10" s="145" t="s">
        <v>180</v>
      </c>
      <c r="B10" s="152">
        <v>1950</v>
      </c>
      <c r="C10" s="146"/>
      <c r="D10" s="148">
        <v>50</v>
      </c>
      <c r="E10" s="155">
        <f t="shared" si="0"/>
        <v>2000</v>
      </c>
      <c r="I10" s="145" t="s">
        <v>180</v>
      </c>
      <c r="J10" s="152">
        <v>2420.1458333333335</v>
      </c>
      <c r="K10" s="176" t="s">
        <v>198</v>
      </c>
    </row>
    <row r="11" spans="1:11" ht="24" thickBot="1" x14ac:dyDescent="0.3">
      <c r="A11" s="143" t="s">
        <v>31</v>
      </c>
      <c r="B11" s="153">
        <v>2800</v>
      </c>
      <c r="C11" s="144"/>
      <c r="D11" s="149">
        <v>50</v>
      </c>
      <c r="E11" s="155">
        <f t="shared" si="0"/>
        <v>2850</v>
      </c>
      <c r="I11" s="143" t="s">
        <v>31</v>
      </c>
      <c r="J11" s="153">
        <v>4789.2534722222226</v>
      </c>
      <c r="K11" s="177" t="s">
        <v>199</v>
      </c>
    </row>
    <row r="12" spans="1:11" ht="43.5" thickTop="1" thickBot="1" x14ac:dyDescent="0.3">
      <c r="A12" s="145" t="s">
        <v>35</v>
      </c>
      <c r="B12" s="152">
        <v>3200</v>
      </c>
      <c r="C12" s="146"/>
      <c r="D12" s="148">
        <v>50</v>
      </c>
      <c r="E12" s="155">
        <f t="shared" si="0"/>
        <v>3250</v>
      </c>
      <c r="I12" s="145" t="s">
        <v>35</v>
      </c>
      <c r="J12" s="152">
        <v>5044.6006944444443</v>
      </c>
      <c r="K12" s="176" t="s">
        <v>200</v>
      </c>
    </row>
    <row r="13" spans="1:11" ht="24" thickBot="1" x14ac:dyDescent="0.3">
      <c r="A13" s="143" t="s">
        <v>37</v>
      </c>
      <c r="B13" s="153">
        <v>2000</v>
      </c>
      <c r="C13" s="144"/>
      <c r="D13" s="149">
        <v>50</v>
      </c>
      <c r="E13" s="155">
        <f t="shared" si="0"/>
        <v>2050</v>
      </c>
      <c r="I13" s="1"/>
      <c r="J13" s="1"/>
      <c r="K13" s="1"/>
    </row>
    <row r="14" spans="1:11" ht="24" thickBot="1" x14ac:dyDescent="0.3">
      <c r="A14" s="145" t="s">
        <v>38</v>
      </c>
      <c r="B14" s="152">
        <v>4500</v>
      </c>
      <c r="C14" s="146"/>
      <c r="D14" s="148">
        <v>50</v>
      </c>
      <c r="E14" s="155">
        <f t="shared" si="0"/>
        <v>4550</v>
      </c>
      <c r="I14" s="1"/>
      <c r="J14" s="1"/>
      <c r="K14" s="1"/>
    </row>
    <row r="15" spans="1:11" ht="24" thickBot="1" x14ac:dyDescent="0.3">
      <c r="A15" s="143" t="s">
        <v>181</v>
      </c>
      <c r="B15" s="153">
        <v>3500</v>
      </c>
      <c r="C15" s="144"/>
      <c r="D15" s="149">
        <v>50</v>
      </c>
      <c r="E15" s="155">
        <f t="shared" si="0"/>
        <v>3550</v>
      </c>
      <c r="I15" s="1"/>
      <c r="J15" s="1"/>
      <c r="K15" s="1"/>
    </row>
    <row r="16" spans="1:11" ht="24" thickBot="1" x14ac:dyDescent="0.3">
      <c r="A16" s="145" t="s">
        <v>30</v>
      </c>
      <c r="B16" s="152">
        <v>2000</v>
      </c>
      <c r="C16" s="146"/>
      <c r="D16" s="148">
        <v>0</v>
      </c>
      <c r="E16" s="155">
        <f t="shared" si="0"/>
        <v>2000</v>
      </c>
      <c r="I16" s="1"/>
      <c r="J16" s="1"/>
      <c r="K16" s="1"/>
    </row>
    <row r="17" spans="1:11" ht="24" thickBot="1" x14ac:dyDescent="0.3">
      <c r="A17" s="143" t="s">
        <v>32</v>
      </c>
      <c r="B17" s="153">
        <v>2000</v>
      </c>
      <c r="C17" s="144"/>
      <c r="D17" s="149">
        <v>25</v>
      </c>
      <c r="E17" s="155">
        <f t="shared" si="0"/>
        <v>2025</v>
      </c>
      <c r="I17" s="1"/>
      <c r="J17" s="1"/>
      <c r="K17" s="1"/>
    </row>
    <row r="18" spans="1:11" ht="24" thickBot="1" x14ac:dyDescent="0.3">
      <c r="A18" s="145" t="s">
        <v>34</v>
      </c>
      <c r="B18" s="154">
        <v>500</v>
      </c>
      <c r="C18" s="146">
        <v>2000</v>
      </c>
      <c r="D18" s="148">
        <v>25</v>
      </c>
      <c r="E18" s="155">
        <f t="shared" si="0"/>
        <v>2525</v>
      </c>
      <c r="I18" s="1"/>
      <c r="J18" s="1"/>
      <c r="K18" s="1"/>
    </row>
    <row r="19" spans="1:11" ht="24" thickBot="1" x14ac:dyDescent="0.3">
      <c r="A19" s="143" t="s">
        <v>36</v>
      </c>
      <c r="B19" s="153">
        <v>3000</v>
      </c>
      <c r="C19" s="144"/>
      <c r="D19" s="149">
        <v>25</v>
      </c>
      <c r="E19" s="155">
        <f t="shared" si="0"/>
        <v>3025</v>
      </c>
      <c r="I19" s="1"/>
      <c r="J19" s="1"/>
      <c r="K19" s="1"/>
    </row>
    <row r="21" spans="1:11" ht="15.75" thickBot="1" x14ac:dyDescent="0.3"/>
    <row r="22" spans="1:11" ht="15.75" thickBot="1" x14ac:dyDescent="0.3">
      <c r="C22" s="330" t="s">
        <v>193</v>
      </c>
      <c r="D22" s="331"/>
      <c r="E22" s="331"/>
      <c r="F22" s="332"/>
    </row>
    <row r="23" spans="1:11" ht="26.25" x14ac:dyDescent="0.25">
      <c r="A23" s="34"/>
      <c r="B23" s="165" t="s">
        <v>87</v>
      </c>
      <c r="C23" s="166" t="s">
        <v>186</v>
      </c>
      <c r="D23" s="167" t="s">
        <v>187</v>
      </c>
      <c r="E23" s="168" t="s">
        <v>188</v>
      </c>
      <c r="F23" s="169" t="s">
        <v>189</v>
      </c>
    </row>
    <row r="24" spans="1:11" x14ac:dyDescent="0.25">
      <c r="A24" s="39" t="s">
        <v>182</v>
      </c>
      <c r="B24" s="157">
        <v>2000</v>
      </c>
      <c r="C24" s="170">
        <v>0</v>
      </c>
      <c r="D24" s="156">
        <v>0</v>
      </c>
      <c r="E24" s="44" t="s">
        <v>191</v>
      </c>
      <c r="F24" s="158">
        <v>0</v>
      </c>
    </row>
    <row r="25" spans="1:11" x14ac:dyDescent="0.25">
      <c r="A25" s="39" t="s">
        <v>183</v>
      </c>
      <c r="B25" s="157">
        <v>2025</v>
      </c>
      <c r="C25" s="159" t="s">
        <v>190</v>
      </c>
      <c r="D25" s="156">
        <v>0</v>
      </c>
      <c r="E25" s="44" t="s">
        <v>191</v>
      </c>
      <c r="F25" s="160" t="s">
        <v>192</v>
      </c>
    </row>
    <row r="26" spans="1:11" x14ac:dyDescent="0.25">
      <c r="A26" s="39" t="s">
        <v>184</v>
      </c>
      <c r="B26" s="157">
        <v>2525</v>
      </c>
      <c r="C26" s="159" t="s">
        <v>190</v>
      </c>
      <c r="D26" s="156">
        <v>0</v>
      </c>
      <c r="E26" s="156">
        <v>0</v>
      </c>
      <c r="F26" s="158">
        <v>0</v>
      </c>
    </row>
    <row r="27" spans="1:11" ht="15.75" thickBot="1" x14ac:dyDescent="0.3">
      <c r="A27" s="39" t="s">
        <v>185</v>
      </c>
      <c r="B27" s="157">
        <v>3025</v>
      </c>
      <c r="C27" s="161" t="s">
        <v>190</v>
      </c>
      <c r="D27" s="162">
        <v>0</v>
      </c>
      <c r="E27" s="163" t="s">
        <v>191</v>
      </c>
      <c r="F27" s="164">
        <v>0</v>
      </c>
    </row>
  </sheetData>
  <mergeCells count="1">
    <mergeCell ref="C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Datos de partida</vt:lpstr>
      <vt:lpstr>Apartado 1. Distribución costes</vt:lpstr>
      <vt:lpstr>Apartado 2. CT auxiliares</vt:lpstr>
      <vt:lpstr>Apartado 2. Redistribución </vt:lpstr>
      <vt:lpstr>Apartado 3. Coste de producción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</dc:creator>
  <cp:lastModifiedBy>Sonia Granado Suárez</cp:lastModifiedBy>
  <dcterms:created xsi:type="dcterms:W3CDTF">2015-03-10T09:38:06Z</dcterms:created>
  <dcterms:modified xsi:type="dcterms:W3CDTF">2016-06-13T18:16:24Z</dcterms:modified>
</cp:coreProperties>
</file>