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Datos" sheetId="1" r:id="rId1"/>
    <sheet name="Solucion" sheetId="2" r:id="rId2"/>
  </sheet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/>
  <c r="C47" i="2" l="1"/>
  <c r="E76"/>
  <c r="D76"/>
  <c r="C76"/>
  <c r="C61"/>
  <c r="B34"/>
  <c r="B62"/>
  <c r="C62"/>
  <c r="B35"/>
  <c r="B36"/>
  <c r="B64"/>
  <c r="C64"/>
  <c r="E7"/>
  <c r="D7"/>
  <c r="B40"/>
  <c r="B68"/>
  <c r="C68"/>
  <c r="C70"/>
  <c r="C74"/>
  <c r="C77"/>
  <c r="B84"/>
  <c r="C26"/>
  <c r="C27"/>
  <c r="C24"/>
  <c r="C25"/>
  <c r="A25"/>
  <c r="E10"/>
  <c r="B55"/>
  <c r="B81"/>
  <c r="B56"/>
  <c r="B82"/>
  <c r="B83"/>
  <c r="B86"/>
  <c r="B88"/>
  <c r="D61"/>
  <c r="D62"/>
  <c r="B37"/>
  <c r="B65"/>
  <c r="D65"/>
  <c r="E8"/>
  <c r="D8"/>
  <c r="B41"/>
  <c r="B69"/>
  <c r="D69"/>
  <c r="D70"/>
  <c r="D72"/>
  <c r="D73"/>
  <c r="D74"/>
  <c r="D77"/>
  <c r="B89"/>
  <c r="B90"/>
  <c r="C33"/>
  <c r="B33"/>
  <c r="D33"/>
  <c r="B61"/>
  <c r="E61"/>
  <c r="E62"/>
  <c r="E65"/>
  <c r="B38"/>
  <c r="B66"/>
  <c r="E66"/>
  <c r="E70"/>
  <c r="E72"/>
  <c r="E74"/>
  <c r="C29"/>
  <c r="C30"/>
  <c r="A30"/>
  <c r="E19"/>
  <c r="D19"/>
  <c r="B48"/>
  <c r="B75"/>
  <c r="E75"/>
  <c r="E77"/>
  <c r="B91"/>
  <c r="B92"/>
  <c r="D21"/>
  <c r="B50"/>
  <c r="D50"/>
  <c r="D22"/>
  <c r="B51"/>
  <c r="D51"/>
  <c r="B93"/>
  <c r="B94"/>
  <c r="I82"/>
  <c r="F81"/>
  <c r="I81"/>
  <c r="I83"/>
  <c r="F82"/>
  <c r="F83"/>
  <c r="F84"/>
  <c r="F85"/>
  <c r="F86"/>
  <c r="F87"/>
  <c r="F89"/>
  <c r="F90"/>
  <c r="F91"/>
  <c r="F88"/>
  <c r="B87"/>
  <c r="F77"/>
  <c r="B77"/>
  <c r="F71"/>
  <c r="E67"/>
  <c r="B76"/>
  <c r="B74"/>
  <c r="B73"/>
  <c r="B72"/>
  <c r="B71"/>
  <c r="B70"/>
  <c r="B67"/>
  <c r="B57"/>
  <c r="D20"/>
  <c r="B49"/>
  <c r="D49"/>
  <c r="D18"/>
  <c r="B47"/>
  <c r="D47"/>
  <c r="D16"/>
  <c r="B46"/>
  <c r="D46"/>
  <c r="D14"/>
  <c r="B45"/>
  <c r="D45"/>
  <c r="D12"/>
  <c r="B44"/>
  <c r="C44"/>
  <c r="D48"/>
  <c r="D4"/>
  <c r="C34"/>
  <c r="D5"/>
  <c r="D6"/>
  <c r="B39"/>
  <c r="D39"/>
  <c r="D9"/>
  <c r="B42"/>
  <c r="D42"/>
  <c r="D11"/>
  <c r="D13"/>
  <c r="D15"/>
  <c r="D17"/>
  <c r="D3"/>
  <c r="C40"/>
  <c r="D41"/>
  <c r="C36"/>
  <c r="D37"/>
  <c r="C42"/>
  <c r="D34"/>
  <c r="D10"/>
  <c r="B43"/>
  <c r="C43"/>
</calcChain>
</file>

<file path=xl/sharedStrings.xml><?xml version="1.0" encoding="utf-8"?>
<sst xmlns="http://schemas.openxmlformats.org/spreadsheetml/2006/main" count="209" uniqueCount="147">
  <si>
    <t>Cuenta de pérdidas y ganancias</t>
  </si>
  <si>
    <t xml:space="preserve">Sueldos y salarios  </t>
  </si>
  <si>
    <t xml:space="preserve">Seguridad social, empresa </t>
  </si>
  <si>
    <t xml:space="preserve">Amortización del inmovilizado material </t>
  </si>
  <si>
    <t xml:space="preserve">Amortización del inmovilizado intangible </t>
  </si>
  <si>
    <t xml:space="preserve">Transportes del personal </t>
  </si>
  <si>
    <t xml:space="preserve">Servicios de profesionales independientes </t>
  </si>
  <si>
    <t xml:space="preserve">Tributos  </t>
  </si>
  <si>
    <t xml:space="preserve">Compras de materias primas </t>
  </si>
  <si>
    <t xml:space="preserve">Pérdidas de créditos incobrables </t>
  </si>
  <si>
    <t xml:space="preserve">Intereses de deudas </t>
  </si>
  <si>
    <t xml:space="preserve">Indemnizaciones </t>
  </si>
  <si>
    <t xml:space="preserve">Mantenimiento de equipamiento informático  </t>
  </si>
  <si>
    <t xml:space="preserve">Gastos financieros por actualización de provisiones </t>
  </si>
  <si>
    <t xml:space="preserve">Primas de seguros </t>
  </si>
  <si>
    <t xml:space="preserve">Ventas de productos terminados </t>
  </si>
  <si>
    <t xml:space="preserve">Pérdidas por deterioro de las materias primas </t>
  </si>
  <si>
    <t xml:space="preserve">Suministros </t>
  </si>
  <si>
    <t>Compras de material de oficina</t>
  </si>
  <si>
    <t>Arrendamientos</t>
  </si>
  <si>
    <t xml:space="preserve">Variación existencias de materias primas (saldo acreedor) </t>
  </si>
  <si>
    <t xml:space="preserve">Materias primas </t>
  </si>
  <si>
    <t xml:space="preserve">Hacienda pública, acreedora </t>
  </si>
  <si>
    <t xml:space="preserve">Remuneraciones pendientes de pago </t>
  </si>
  <si>
    <t xml:space="preserve">Provisión para otras responsabilidades </t>
  </si>
  <si>
    <t xml:space="preserve">Maquinaria </t>
  </si>
  <si>
    <t xml:space="preserve">Equipos informáticos </t>
  </si>
  <si>
    <t xml:space="preserve">Elementos de transporte </t>
  </si>
  <si>
    <t xml:space="preserve">Aplicaciones informáticas </t>
  </si>
  <si>
    <t xml:space="preserve">Productos terminados </t>
  </si>
  <si>
    <t xml:space="preserve">Efectos descontados </t>
  </si>
  <si>
    <t xml:space="preserve">Ingresos anticipados </t>
  </si>
  <si>
    <t xml:space="preserve">Clientes de dudoso cobro </t>
  </si>
  <si>
    <t xml:space="preserve">Material de oficina </t>
  </si>
  <si>
    <t>BALANCE DE SITUACIÓN A FIN DE EJERCICIO</t>
  </si>
  <si>
    <t xml:space="preserve">Fabricación </t>
  </si>
  <si>
    <t xml:space="preserve">Comercial </t>
  </si>
  <si>
    <t xml:space="preserve">Admón </t>
  </si>
  <si>
    <t xml:space="preserve">Sueldos y salarios </t>
  </si>
  <si>
    <t xml:space="preserve">Resto </t>
  </si>
  <si>
    <t xml:space="preserve">30.480  </t>
  </si>
  <si>
    <t>Personal fábrica</t>
  </si>
  <si>
    <t>Asesoría comerciales</t>
  </si>
  <si>
    <t>juicio por despido</t>
  </si>
  <si>
    <t>Leasing máquinas</t>
  </si>
  <si>
    <t>Cifra interna</t>
  </si>
  <si>
    <t>Oficinas comerciales</t>
  </si>
  <si>
    <t>industrial</t>
  </si>
  <si>
    <t>Programa contable</t>
  </si>
  <si>
    <t>Amortización inmovilizado material</t>
  </si>
  <si>
    <t>Máquinas industriales</t>
  </si>
  <si>
    <t>Equipos informáticos</t>
  </si>
  <si>
    <t xml:space="preserve">Vehículos </t>
  </si>
  <si>
    <t>Vehículos comerciales</t>
  </si>
  <si>
    <t>1. Gastos y costes</t>
  </si>
  <si>
    <t>Salario medio empresario</t>
  </si>
  <si>
    <t>€/mes</t>
  </si>
  <si>
    <t>Coste capital</t>
  </si>
  <si>
    <t>euros</t>
  </si>
  <si>
    <t>GASTO</t>
  </si>
  <si>
    <t>GASTO INCORPORABLE</t>
  </si>
  <si>
    <t>SI</t>
  </si>
  <si>
    <t>Cálculo interno</t>
  </si>
  <si>
    <t>mismo</t>
  </si>
  <si>
    <t>otro</t>
  </si>
  <si>
    <t>COSTE</t>
  </si>
  <si>
    <t>OTRO</t>
  </si>
  <si>
    <t>NO</t>
  </si>
  <si>
    <t>No gastos extraordinarios</t>
  </si>
  <si>
    <t>Costes de oportunidad</t>
  </si>
  <si>
    <t>Coste del capital</t>
  </si>
  <si>
    <t>Cálculo consumo</t>
  </si>
  <si>
    <t>Gasto extraordinario</t>
  </si>
  <si>
    <t>Gasto taxi atípico</t>
  </si>
  <si>
    <t>Consumo materias primas</t>
  </si>
  <si>
    <t>Ex.iniciales</t>
  </si>
  <si>
    <t>Compras</t>
  </si>
  <si>
    <t>Ex.finales</t>
  </si>
  <si>
    <t>Variac.exist.</t>
  </si>
  <si>
    <t>2. Costes del producto y del periodo</t>
  </si>
  <si>
    <t>COSTE INDUSTRIAL</t>
  </si>
  <si>
    <t>COSTE PERIODO</t>
  </si>
  <si>
    <t>Consumo de material de oficina</t>
  </si>
  <si>
    <t>No</t>
  </si>
  <si>
    <t>3. Costes directos e indirectos y reparto de costes indirectos</t>
  </si>
  <si>
    <t>Industrial</t>
  </si>
  <si>
    <t>Ventas</t>
  </si>
  <si>
    <t>MOD en Fabricación</t>
  </si>
  <si>
    <t>COSTE DIRECTO O PRIMARIO</t>
  </si>
  <si>
    <t>Sueldos y salarios  (coste indirecto)</t>
  </si>
  <si>
    <t>Seguridad social, empresa</t>
  </si>
  <si>
    <t>Amortización del inmovilizado material:</t>
  </si>
  <si>
    <t>60% Máquinas</t>
  </si>
  <si>
    <t>20% Equipos informáticos</t>
  </si>
  <si>
    <t>20% Vehículos</t>
  </si>
  <si>
    <t>Amortización del intangible</t>
  </si>
  <si>
    <t>Transportes</t>
  </si>
  <si>
    <t>Servicios de profesionales independientes</t>
  </si>
  <si>
    <t>Tributos</t>
  </si>
  <si>
    <t>Intereses de deudas</t>
  </si>
  <si>
    <t>Mantenimiento equipos informáticos</t>
  </si>
  <si>
    <t>Primas de seguros</t>
  </si>
  <si>
    <t>Suministros</t>
  </si>
  <si>
    <t>Material de oficina</t>
  </si>
  <si>
    <t>COSTES INDIRECTOS</t>
  </si>
  <si>
    <t>GGF</t>
  </si>
  <si>
    <t>Comercial</t>
  </si>
  <si>
    <t>taxis comerciales</t>
  </si>
  <si>
    <t>Admón</t>
  </si>
  <si>
    <t>Coste materias primas</t>
  </si>
  <si>
    <t>coste directo o primario</t>
  </si>
  <si>
    <t>coste explotación</t>
  </si>
  <si>
    <t>costes comerciales</t>
  </si>
  <si>
    <t>costes empresa</t>
  </si>
  <si>
    <t>COSTE TOTAL</t>
  </si>
  <si>
    <t>Resultado del ejercicio</t>
  </si>
  <si>
    <t>Ingresos por ventas</t>
  </si>
  <si>
    <t>coste industrial productos vendidos</t>
  </si>
  <si>
    <t>margen industrial</t>
  </si>
  <si>
    <t>margen comercial</t>
  </si>
  <si>
    <t>resultado bruto</t>
  </si>
  <si>
    <t>resultado neto</t>
  </si>
  <si>
    <t>resultado periodo</t>
  </si>
  <si>
    <t>Ingresos</t>
  </si>
  <si>
    <t>resultado</t>
  </si>
  <si>
    <t>5. Si el edificio alquilado fuera comercial</t>
  </si>
  <si>
    <t>Cambiar celda E22 en la Hoja de Datos por Industrial</t>
  </si>
  <si>
    <t>MANO DE OBRA</t>
  </si>
  <si>
    <t>OTROS DATOS</t>
  </si>
  <si>
    <t>Financieros</t>
  </si>
  <si>
    <t>Aclaraciones</t>
  </si>
  <si>
    <t>Mano de obra directa</t>
  </si>
  <si>
    <t>+MOD</t>
  </si>
  <si>
    <t>+GGF</t>
  </si>
  <si>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Variac.productos terminados</t>
    </r>
  </si>
  <si>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resultado financiero</t>
    </r>
  </si>
  <si>
    <t>+coste ventas y distribución</t>
  </si>
  <si>
    <t>+costes admón.</t>
  </si>
  <si>
    <t>+otros costes</t>
  </si>
  <si>
    <t>-coste productos vendidos</t>
  </si>
  <si>
    <t>-costes ventas y distribución</t>
  </si>
  <si>
    <t>-costes admón.</t>
  </si>
  <si>
    <t>-resultado financiero</t>
  </si>
  <si>
    <t>-otros costes</t>
  </si>
  <si>
    <t>-coste total</t>
  </si>
  <si>
    <t>4. Coste de la empresa y resultado</t>
  </si>
  <si>
    <t>NOTA: uso de la función "SI"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</si>
</sst>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00000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3" fontId="0" fillId="0" borderId="0" xfId="0" applyNumberFormat="1"/>
    <xf numFmtId="3" fontId="2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Font="1" applyBorder="1" applyAlignment="1">
      <alignment horizontal="justify" vertical="top" wrapText="1" readingOrder="1"/>
    </xf>
    <xf numFmtId="3" fontId="2" fillId="0" borderId="0" xfId="0" applyNumberFormat="1" applyFont="1" applyBorder="1" applyAlignment="1">
      <alignment horizontal="right" vertical="top" wrapText="1" readingOrder="1"/>
    </xf>
    <xf numFmtId="0" fontId="2" fillId="0" borderId="0" xfId="0" applyFont="1" applyBorder="1" applyAlignment="1">
      <alignment horizontal="right" vertical="top" wrapText="1" readingOrder="1"/>
    </xf>
    <xf numFmtId="0" fontId="2" fillId="0" borderId="0" xfId="0" applyFont="1" applyFill="1" applyBorder="1" applyAlignment="1">
      <alignment horizontal="justify" vertical="top" wrapText="1" readingOrder="1"/>
    </xf>
    <xf numFmtId="3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justify" vertical="top" wrapText="1" readingOrder="1"/>
    </xf>
    <xf numFmtId="3" fontId="3" fillId="0" borderId="0" xfId="0" applyNumberFormat="1" applyFont="1" applyBorder="1" applyAlignment="1">
      <alignment horizontal="center" vertical="top" wrapText="1" readingOrder="1"/>
    </xf>
    <xf numFmtId="9" fontId="0" fillId="0" borderId="0" xfId="0" applyNumberFormat="1"/>
    <xf numFmtId="0" fontId="3" fillId="0" borderId="0" xfId="0" applyFont="1" applyFill="1" applyBorder="1" applyAlignment="1">
      <alignment horizontal="justify" vertical="top" wrapText="1" readingOrder="1"/>
    </xf>
    <xf numFmtId="3" fontId="0" fillId="2" borderId="0" xfId="0" applyNumberFormat="1" applyFill="1"/>
    <xf numFmtId="0" fontId="4" fillId="0" borderId="0" xfId="0" applyFont="1" applyFill="1" applyBorder="1" applyAlignment="1">
      <alignment horizontal="justify" vertical="top" wrapText="1" readingOrder="1"/>
    </xf>
    <xf numFmtId="0" fontId="5" fillId="0" borderId="0" xfId="0" applyFont="1"/>
    <xf numFmtId="10" fontId="3" fillId="0" borderId="0" xfId="0" applyNumberFormat="1" applyFont="1" applyBorder="1" applyAlignment="1">
      <alignment horizontal="center" vertical="top" wrapText="1" readingOrder="1"/>
    </xf>
    <xf numFmtId="3" fontId="0" fillId="3" borderId="0" xfId="0" applyNumberFormat="1" applyFill="1"/>
    <xf numFmtId="3" fontId="2" fillId="0" borderId="1" xfId="0" applyNumberFormat="1" applyFont="1" applyBorder="1" applyAlignment="1">
      <alignment horizontal="right" vertical="top" wrapText="1" readingOrder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2" fillId="0" borderId="1" xfId="0" applyFont="1" applyBorder="1" applyAlignment="1">
      <alignment horizontal="right" vertical="top" wrapText="1" readingOrder="1"/>
    </xf>
    <xf numFmtId="0" fontId="0" fillId="0" borderId="1" xfId="0" applyBorder="1"/>
    <xf numFmtId="0" fontId="2" fillId="0" borderId="2" xfId="0" applyFont="1" applyBorder="1" applyAlignment="1">
      <alignment horizontal="justify" vertical="top" wrapText="1" readingOrder="1"/>
    </xf>
    <xf numFmtId="0" fontId="2" fillId="0" borderId="2" xfId="0" applyFont="1" applyFill="1" applyBorder="1" applyAlignment="1">
      <alignment horizontal="justify" vertical="top" wrapText="1" readingOrder="1"/>
    </xf>
    <xf numFmtId="3" fontId="0" fillId="2" borderId="1" xfId="0" applyNumberFormat="1" applyFill="1" applyBorder="1"/>
    <xf numFmtId="3" fontId="0" fillId="3" borderId="1" xfId="0" applyNumberForma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3" fontId="2" fillId="0" borderId="3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justify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justify" vertical="center" wrapText="1" readingOrder="1"/>
    </xf>
    <xf numFmtId="0" fontId="0" fillId="0" borderId="4" xfId="0" applyBorder="1"/>
    <xf numFmtId="3" fontId="0" fillId="0" borderId="4" xfId="0" applyNumberFormat="1" applyBorder="1"/>
    <xf numFmtId="3" fontId="0" fillId="0" borderId="0" xfId="0" applyNumberFormat="1" applyBorder="1"/>
    <xf numFmtId="164" fontId="0" fillId="0" borderId="4" xfId="0" applyNumberFormat="1" applyBorder="1"/>
    <xf numFmtId="164" fontId="0" fillId="0" borderId="0" xfId="0" applyNumberFormat="1"/>
    <xf numFmtId="0" fontId="9" fillId="0" borderId="0" xfId="0" applyFont="1" applyFill="1" applyBorder="1" applyAlignment="1">
      <alignment horizontal="justify" vertical="top" wrapText="1" readingOrder="1"/>
    </xf>
    <xf numFmtId="0" fontId="10" fillId="0" borderId="0" xfId="0" applyFont="1" applyFill="1" applyBorder="1" applyAlignment="1">
      <alignment horizontal="justify" vertical="top" wrapText="1" readingOrder="1"/>
    </xf>
    <xf numFmtId="0" fontId="13" fillId="0" borderId="0" xfId="0" applyFont="1"/>
    <xf numFmtId="9" fontId="13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2" borderId="0" xfId="0" applyFont="1" applyFill="1"/>
    <xf numFmtId="3" fontId="3" fillId="4" borderId="0" xfId="0" applyNumberFormat="1" applyFont="1" applyFill="1" applyBorder="1" applyAlignment="1">
      <alignment horizontal="center" vertical="top" wrapText="1" readingOrder="1"/>
    </xf>
    <xf numFmtId="9" fontId="0" fillId="4" borderId="0" xfId="0" applyNumberFormat="1" applyFill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top" wrapText="1" readingOrder="1"/>
    </xf>
    <xf numFmtId="0" fontId="6" fillId="0" borderId="1" xfId="0" applyFont="1" applyFill="1" applyBorder="1" applyAlignment="1">
      <alignment horizontal="right" vertical="top" wrapText="1" readingOrder="1"/>
    </xf>
    <xf numFmtId="0" fontId="2" fillId="0" borderId="1" xfId="0" applyFont="1" applyFill="1" applyBorder="1" applyAlignment="1">
      <alignment horizontal="justify" vertical="top" wrapText="1" readingOrder="1"/>
    </xf>
    <xf numFmtId="0" fontId="0" fillId="5" borderId="0" xfId="0" applyFill="1"/>
    <xf numFmtId="3" fontId="0" fillId="5" borderId="0" xfId="0" applyNumberFormat="1" applyFill="1"/>
    <xf numFmtId="49" fontId="0" fillId="0" borderId="0" xfId="0" applyNumberFormat="1"/>
    <xf numFmtId="49" fontId="0" fillId="0" borderId="4" xfId="0" applyNumberFormat="1" applyBorder="1"/>
    <xf numFmtId="49" fontId="0" fillId="0" borderId="0" xfId="0" applyNumberFormat="1" applyBorder="1"/>
    <xf numFmtId="49" fontId="0" fillId="0" borderId="4" xfId="0" applyNumberFormat="1" applyFill="1" applyBorder="1"/>
    <xf numFmtId="49" fontId="12" fillId="6" borderId="0" xfId="0" applyNumberFormat="1" applyFont="1" applyFill="1"/>
    <xf numFmtId="3" fontId="12" fillId="6" borderId="0" xfId="0" applyNumberFormat="1" applyFont="1" applyFill="1"/>
    <xf numFmtId="3" fontId="12" fillId="6" borderId="4" xfId="0" applyNumberFormat="1" applyFont="1" applyFill="1" applyBorder="1"/>
    <xf numFmtId="3" fontId="11" fillId="6" borderId="0" xfId="0" applyNumberFormat="1" applyFont="1" applyFill="1"/>
    <xf numFmtId="0" fontId="7" fillId="0" borderId="0" xfId="0" applyFont="1" applyFill="1" applyBorder="1" applyAlignment="1">
      <alignment horizontal="left" vertical="top" readingOrder="1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53"/>
  <sheetViews>
    <sheetView tabSelected="1" workbookViewId="0">
      <selection activeCell="A57" sqref="A57"/>
    </sheetView>
  </sheetViews>
  <sheetFormatPr baseColWidth="10" defaultRowHeight="15"/>
  <cols>
    <col min="1" max="1" width="53.140625" customWidth="1"/>
    <col min="2" max="2" width="11.42578125" customWidth="1"/>
    <col min="3" max="3" width="18" customWidth="1"/>
    <col min="4" max="4" width="15.5703125" customWidth="1"/>
  </cols>
  <sheetData>
    <row r="2" spans="1:7">
      <c r="A2" s="8" t="s">
        <v>0</v>
      </c>
      <c r="C2" s="44" t="s">
        <v>130</v>
      </c>
    </row>
    <row r="3" spans="1:7">
      <c r="A3" s="3" t="s">
        <v>1</v>
      </c>
      <c r="B3" s="4">
        <v>150050</v>
      </c>
      <c r="C3" s="44"/>
    </row>
    <row r="4" spans="1:7">
      <c r="A4" s="3" t="s">
        <v>2</v>
      </c>
      <c r="B4" s="4">
        <v>30480</v>
      </c>
      <c r="C4" s="44"/>
    </row>
    <row r="5" spans="1:7">
      <c r="A5" s="3" t="s">
        <v>3</v>
      </c>
      <c r="B5" s="4">
        <v>46500</v>
      </c>
      <c r="C5" s="46" t="s">
        <v>45</v>
      </c>
      <c r="D5" s="47">
        <v>47000</v>
      </c>
      <c r="E5" s="44"/>
      <c r="F5" s="44"/>
    </row>
    <row r="6" spans="1:7">
      <c r="A6" s="3" t="s">
        <v>4</v>
      </c>
      <c r="B6" s="4">
        <v>3000</v>
      </c>
      <c r="C6" s="44" t="s">
        <v>48</v>
      </c>
      <c r="D6" s="47"/>
      <c r="E6" s="44"/>
      <c r="F6" s="44"/>
    </row>
    <row r="7" spans="1:7">
      <c r="A7" s="3" t="s">
        <v>5</v>
      </c>
      <c r="B7" s="5">
        <v>490</v>
      </c>
      <c r="C7" s="44" t="s">
        <v>41</v>
      </c>
      <c r="D7" s="45">
        <v>1</v>
      </c>
      <c r="E7" s="44" t="s">
        <v>47</v>
      </c>
      <c r="F7" s="44">
        <v>50</v>
      </c>
      <c r="G7" s="44" t="s">
        <v>107</v>
      </c>
    </row>
    <row r="8" spans="1:7">
      <c r="A8" s="3" t="s">
        <v>6</v>
      </c>
      <c r="B8" s="4">
        <v>6400</v>
      </c>
      <c r="C8" s="44" t="s">
        <v>42</v>
      </c>
      <c r="D8" s="45">
        <v>1</v>
      </c>
      <c r="E8" s="44" t="s">
        <v>106</v>
      </c>
      <c r="F8" s="44"/>
    </row>
    <row r="9" spans="1:7">
      <c r="A9" s="3" t="s">
        <v>7</v>
      </c>
      <c r="B9" s="5">
        <v>600</v>
      </c>
      <c r="C9" s="44"/>
      <c r="D9" s="47"/>
      <c r="E9" s="44"/>
      <c r="F9" s="44"/>
    </row>
    <row r="10" spans="1:7">
      <c r="A10" s="3" t="s">
        <v>8</v>
      </c>
      <c r="B10" s="4">
        <v>16000</v>
      </c>
      <c r="C10" s="44"/>
      <c r="D10" s="47"/>
      <c r="E10" s="44"/>
      <c r="F10" s="44"/>
    </row>
    <row r="11" spans="1:7">
      <c r="A11" s="3" t="s">
        <v>9</v>
      </c>
      <c r="B11" s="5">
        <v>500</v>
      </c>
      <c r="C11" s="44"/>
      <c r="D11" s="47"/>
      <c r="E11" s="44"/>
      <c r="F11" s="44"/>
    </row>
    <row r="12" spans="1:7">
      <c r="A12" s="3" t="s">
        <v>10</v>
      </c>
      <c r="B12" s="5">
        <v>380</v>
      </c>
      <c r="C12" s="44" t="s">
        <v>44</v>
      </c>
      <c r="D12" s="47"/>
      <c r="E12" s="44"/>
      <c r="F12" s="44"/>
    </row>
    <row r="13" spans="1:7">
      <c r="A13" s="3" t="s">
        <v>11</v>
      </c>
      <c r="B13" s="4">
        <v>3000</v>
      </c>
      <c r="C13" s="44"/>
      <c r="D13" s="47">
        <v>2500</v>
      </c>
      <c r="E13" s="44" t="s">
        <v>43</v>
      </c>
      <c r="F13" s="44"/>
    </row>
    <row r="14" spans="1:7">
      <c r="A14" s="3" t="s">
        <v>20</v>
      </c>
      <c r="B14" s="4">
        <v>1000</v>
      </c>
      <c r="C14" s="44"/>
      <c r="D14" s="44"/>
      <c r="E14" s="44"/>
      <c r="F14" s="44"/>
    </row>
    <row r="15" spans="1:7">
      <c r="A15" s="3" t="s">
        <v>12</v>
      </c>
      <c r="B15" s="4">
        <v>2300</v>
      </c>
      <c r="C15" s="44"/>
      <c r="D15" s="44"/>
      <c r="E15" s="44"/>
      <c r="F15" s="44"/>
    </row>
    <row r="16" spans="1:7">
      <c r="A16" s="3" t="s">
        <v>13</v>
      </c>
      <c r="B16" s="5">
        <v>450</v>
      </c>
      <c r="C16" s="44"/>
      <c r="D16" s="44"/>
      <c r="E16" s="44"/>
      <c r="F16" s="44"/>
    </row>
    <row r="17" spans="1:6">
      <c r="A17" s="3" t="s">
        <v>14</v>
      </c>
      <c r="B17" s="4">
        <v>3050</v>
      </c>
      <c r="C17" s="44" t="s">
        <v>53</v>
      </c>
      <c r="D17" s="45">
        <v>1</v>
      </c>
      <c r="E17" s="44" t="s">
        <v>106</v>
      </c>
      <c r="F17" s="44"/>
    </row>
    <row r="18" spans="1:6">
      <c r="A18" s="3" t="s">
        <v>15</v>
      </c>
      <c r="B18" s="4">
        <v>180000</v>
      </c>
      <c r="C18" s="44"/>
      <c r="D18" s="44"/>
      <c r="E18" s="44"/>
      <c r="F18" s="44"/>
    </row>
    <row r="19" spans="1:6">
      <c r="A19" s="3" t="s">
        <v>16</v>
      </c>
      <c r="B19" s="5">
        <v>420</v>
      </c>
      <c r="C19" s="44"/>
      <c r="D19" s="44"/>
      <c r="E19" s="44"/>
      <c r="F19" s="44"/>
    </row>
    <row r="20" spans="1:6">
      <c r="A20" s="3" t="s">
        <v>17</v>
      </c>
      <c r="B20" s="4">
        <v>1340</v>
      </c>
      <c r="C20" s="45"/>
      <c r="D20" s="45">
        <v>0.75</v>
      </c>
      <c r="E20" s="44" t="s">
        <v>85</v>
      </c>
      <c r="F20" s="44"/>
    </row>
    <row r="21" spans="1:6">
      <c r="A21" s="6" t="s">
        <v>18</v>
      </c>
      <c r="B21" s="7">
        <v>420</v>
      </c>
      <c r="C21" s="44"/>
      <c r="D21" s="44"/>
      <c r="E21" s="44"/>
      <c r="F21" s="44"/>
    </row>
    <row r="22" spans="1:6">
      <c r="A22" s="6" t="s">
        <v>19</v>
      </c>
      <c r="B22" s="7">
        <v>5700</v>
      </c>
      <c r="C22" s="44" t="s">
        <v>46</v>
      </c>
      <c r="D22" s="45">
        <v>1</v>
      </c>
      <c r="E22" s="48" t="s">
        <v>47</v>
      </c>
      <c r="F22" s="44"/>
    </row>
    <row r="24" spans="1:6">
      <c r="A24" s="6" t="s">
        <v>34</v>
      </c>
    </row>
    <row r="25" spans="1:6">
      <c r="A25" s="3" t="s">
        <v>21</v>
      </c>
      <c r="B25" s="4">
        <v>2500</v>
      </c>
    </row>
    <row r="26" spans="1:6">
      <c r="A26" s="3" t="s">
        <v>22</v>
      </c>
      <c r="B26" s="4">
        <v>6760</v>
      </c>
    </row>
    <row r="27" spans="1:6">
      <c r="A27" s="3" t="s">
        <v>23</v>
      </c>
      <c r="B27" s="4">
        <v>12000</v>
      </c>
    </row>
    <row r="28" spans="1:6">
      <c r="A28" s="3" t="s">
        <v>24</v>
      </c>
      <c r="B28" s="4">
        <v>24850</v>
      </c>
    </row>
    <row r="29" spans="1:6">
      <c r="A29" s="3" t="s">
        <v>25</v>
      </c>
      <c r="B29" s="4">
        <v>280000</v>
      </c>
    </row>
    <row r="30" spans="1:6">
      <c r="A30" s="3" t="s">
        <v>26</v>
      </c>
      <c r="B30" s="4">
        <v>38000</v>
      </c>
    </row>
    <row r="31" spans="1:6">
      <c r="A31" s="3" t="s">
        <v>27</v>
      </c>
      <c r="B31" s="4">
        <v>42380</v>
      </c>
    </row>
    <row r="32" spans="1:6">
      <c r="A32" s="3" t="s">
        <v>28</v>
      </c>
      <c r="B32" s="4">
        <v>15220</v>
      </c>
    </row>
    <row r="33" spans="1:7">
      <c r="A33" s="3" t="s">
        <v>29</v>
      </c>
      <c r="B33" s="4">
        <v>9200</v>
      </c>
    </row>
    <row r="34" spans="1:7">
      <c r="A34" s="3" t="s">
        <v>30</v>
      </c>
      <c r="B34" s="4">
        <v>6100</v>
      </c>
    </row>
    <row r="35" spans="1:7">
      <c r="A35" s="3" t="s">
        <v>31</v>
      </c>
      <c r="B35" s="5">
        <v>620</v>
      </c>
    </row>
    <row r="36" spans="1:7">
      <c r="A36" s="3" t="s">
        <v>32</v>
      </c>
      <c r="B36" s="4">
        <v>2800</v>
      </c>
    </row>
    <row r="37" spans="1:7">
      <c r="A37" s="3" t="s">
        <v>33</v>
      </c>
      <c r="B37" s="5">
        <v>40</v>
      </c>
    </row>
    <row r="40" spans="1:7">
      <c r="A40" s="42" t="s">
        <v>127</v>
      </c>
      <c r="B40" s="9"/>
      <c r="C40" s="10" t="s">
        <v>35</v>
      </c>
      <c r="D40" s="10" t="s">
        <v>36</v>
      </c>
      <c r="E40" s="10" t="s">
        <v>37</v>
      </c>
    </row>
    <row r="41" spans="1:7">
      <c r="A41" s="11" t="s">
        <v>38</v>
      </c>
      <c r="B41" s="12">
        <v>150050</v>
      </c>
      <c r="C41" s="49">
        <v>82000</v>
      </c>
      <c r="D41" s="12">
        <v>44800</v>
      </c>
      <c r="E41" s="10" t="s">
        <v>39</v>
      </c>
      <c r="F41" s="50">
        <v>0.5</v>
      </c>
      <c r="G41" t="s">
        <v>87</v>
      </c>
    </row>
    <row r="42" spans="1:7">
      <c r="A42" s="11" t="s">
        <v>2</v>
      </c>
      <c r="B42" s="10" t="s">
        <v>40</v>
      </c>
      <c r="C42" s="18">
        <v>0.33333333333333331</v>
      </c>
      <c r="D42" s="18">
        <v>0.33333333333333331</v>
      </c>
      <c r="E42" s="18">
        <v>0.33333333333333331</v>
      </c>
    </row>
    <row r="44" spans="1:7">
      <c r="A44" s="43" t="s">
        <v>49</v>
      </c>
    </row>
    <row r="45" spans="1:7">
      <c r="A45" s="14" t="s">
        <v>50</v>
      </c>
      <c r="B45" s="13">
        <v>0.6</v>
      </c>
      <c r="C45" s="13">
        <v>1</v>
      </c>
    </row>
    <row r="46" spans="1:7">
      <c r="A46" s="14" t="s">
        <v>51</v>
      </c>
      <c r="B46" s="13">
        <v>0.2</v>
      </c>
      <c r="D46" s="13">
        <v>0.5</v>
      </c>
      <c r="E46" s="13">
        <v>0.5</v>
      </c>
    </row>
    <row r="47" spans="1:7">
      <c r="A47" s="14" t="s">
        <v>52</v>
      </c>
      <c r="B47" s="13">
        <f>1-B45-B46</f>
        <v>0.2</v>
      </c>
      <c r="E47" s="13">
        <v>1</v>
      </c>
    </row>
    <row r="48" spans="1:7">
      <c r="A48" s="14"/>
      <c r="E48" s="13"/>
    </row>
    <row r="49" spans="1:3">
      <c r="A49" s="43" t="s">
        <v>128</v>
      </c>
    </row>
    <row r="50" spans="1:3">
      <c r="A50" s="14" t="s">
        <v>55</v>
      </c>
      <c r="B50" s="1">
        <v>2500</v>
      </c>
      <c r="C50" t="s">
        <v>56</v>
      </c>
    </row>
    <row r="51" spans="1:3">
      <c r="A51" s="14" t="s">
        <v>57</v>
      </c>
      <c r="B51" s="1">
        <v>14000</v>
      </c>
      <c r="C51" t="s">
        <v>58</v>
      </c>
    </row>
    <row r="53" spans="1:3">
      <c r="A53" s="14" t="s">
        <v>146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7"/>
  <sheetViews>
    <sheetView workbookViewId="0">
      <selection activeCell="H17" sqref="H17"/>
    </sheetView>
  </sheetViews>
  <sheetFormatPr baseColWidth="10" defaultRowHeight="15"/>
  <cols>
    <col min="1" max="1" width="50.85546875" customWidth="1"/>
    <col min="2" max="2" width="15.140625" customWidth="1"/>
    <col min="3" max="3" width="20.5703125" customWidth="1"/>
    <col min="4" max="4" width="14.140625" customWidth="1"/>
    <col min="6" max="6" width="12.5703125" customWidth="1"/>
  </cols>
  <sheetData>
    <row r="1" spans="1:7">
      <c r="A1" s="17" t="s">
        <v>54</v>
      </c>
      <c r="D1" s="67" t="s">
        <v>65</v>
      </c>
      <c r="E1" s="67"/>
    </row>
    <row r="2" spans="1:7">
      <c r="B2" s="21" t="s">
        <v>59</v>
      </c>
      <c r="C2" s="21" t="s">
        <v>60</v>
      </c>
      <c r="D2" s="52" t="s">
        <v>63</v>
      </c>
      <c r="E2" s="52" t="s">
        <v>64</v>
      </c>
      <c r="F2" s="70"/>
      <c r="G2" s="70"/>
    </row>
    <row r="3" spans="1:7">
      <c r="A3" s="25" t="s">
        <v>1</v>
      </c>
      <c r="B3" s="20">
        <v>150050</v>
      </c>
      <c r="C3" s="21" t="s">
        <v>61</v>
      </c>
      <c r="D3" s="22">
        <f>+IF(C3="SI",B3,IF(C3="otro",E3))</f>
        <v>150050</v>
      </c>
      <c r="E3" s="22"/>
    </row>
    <row r="4" spans="1:7">
      <c r="A4" s="25" t="s">
        <v>2</v>
      </c>
      <c r="B4" s="20">
        <v>30480</v>
      </c>
      <c r="C4" s="21" t="s">
        <v>61</v>
      </c>
      <c r="D4" s="22">
        <f t="shared" ref="D4:D20" si="0">+IF(C4="SI",B4,IF(C4="otro",E4))</f>
        <v>30480</v>
      </c>
      <c r="E4" s="22"/>
    </row>
    <row r="5" spans="1:7">
      <c r="A5" s="25" t="s">
        <v>3</v>
      </c>
      <c r="B5" s="20">
        <v>46500</v>
      </c>
      <c r="C5" s="21" t="s">
        <v>66</v>
      </c>
      <c r="D5" s="22">
        <f t="shared" si="0"/>
        <v>47000</v>
      </c>
      <c r="E5" s="22">
        <v>47000</v>
      </c>
      <c r="F5" t="s">
        <v>62</v>
      </c>
    </row>
    <row r="6" spans="1:7">
      <c r="A6" s="25" t="s">
        <v>4</v>
      </c>
      <c r="B6" s="20">
        <v>3000</v>
      </c>
      <c r="C6" s="21" t="s">
        <v>61</v>
      </c>
      <c r="D6" s="22">
        <f t="shared" si="0"/>
        <v>3000</v>
      </c>
      <c r="E6" s="24"/>
    </row>
    <row r="7" spans="1:7">
      <c r="A7" s="25" t="s">
        <v>5</v>
      </c>
      <c r="B7" s="23">
        <v>490</v>
      </c>
      <c r="C7" s="21" t="s">
        <v>66</v>
      </c>
      <c r="D7" s="22">
        <f t="shared" si="0"/>
        <v>440</v>
      </c>
      <c r="E7" s="22">
        <f>+B7-Datos!F7</f>
        <v>440</v>
      </c>
      <c r="F7" t="s">
        <v>73</v>
      </c>
    </row>
    <row r="8" spans="1:7">
      <c r="A8" s="25" t="s">
        <v>6</v>
      </c>
      <c r="B8" s="20">
        <v>6400</v>
      </c>
      <c r="C8" s="21" t="s">
        <v>66</v>
      </c>
      <c r="D8" s="22">
        <f t="shared" si="0"/>
        <v>3900</v>
      </c>
      <c r="E8" s="22">
        <f>+B8-Datos!D13</f>
        <v>3900</v>
      </c>
      <c r="F8" t="s">
        <v>68</v>
      </c>
    </row>
    <row r="9" spans="1:7">
      <c r="A9" s="25" t="s">
        <v>7</v>
      </c>
      <c r="B9" s="23">
        <v>600</v>
      </c>
      <c r="C9" s="21" t="s">
        <v>61</v>
      </c>
      <c r="D9" s="22">
        <f t="shared" si="0"/>
        <v>600</v>
      </c>
      <c r="E9" s="24"/>
    </row>
    <row r="10" spans="1:7">
      <c r="A10" s="25" t="s">
        <v>8</v>
      </c>
      <c r="B10" s="20">
        <v>16000</v>
      </c>
      <c r="C10" s="21" t="s">
        <v>66</v>
      </c>
      <c r="D10" s="22">
        <f t="shared" si="0"/>
        <v>15000</v>
      </c>
      <c r="E10" s="27">
        <f>+A25</f>
        <v>15000</v>
      </c>
      <c r="F10" t="s">
        <v>71</v>
      </c>
    </row>
    <row r="11" spans="1:7">
      <c r="A11" s="25" t="s">
        <v>9</v>
      </c>
      <c r="B11" s="23">
        <v>500</v>
      </c>
      <c r="C11" s="21" t="s">
        <v>67</v>
      </c>
      <c r="D11" s="22" t="b">
        <f t="shared" si="0"/>
        <v>0</v>
      </c>
      <c r="E11" s="24"/>
    </row>
    <row r="12" spans="1:7">
      <c r="A12" s="25" t="s">
        <v>10</v>
      </c>
      <c r="B12" s="23">
        <v>380</v>
      </c>
      <c r="C12" s="21" t="s">
        <v>61</v>
      </c>
      <c r="D12" s="22">
        <f t="shared" si="0"/>
        <v>380</v>
      </c>
      <c r="E12" s="24"/>
    </row>
    <row r="13" spans="1:7">
      <c r="A13" s="25" t="s">
        <v>11</v>
      </c>
      <c r="B13" s="20">
        <v>3000</v>
      </c>
      <c r="C13" s="21" t="s">
        <v>67</v>
      </c>
      <c r="D13" s="22" t="b">
        <f t="shared" si="0"/>
        <v>0</v>
      </c>
      <c r="E13" s="24"/>
      <c r="F13" t="s">
        <v>72</v>
      </c>
    </row>
    <row r="14" spans="1:7">
      <c r="A14" s="25" t="s">
        <v>12</v>
      </c>
      <c r="B14" s="20">
        <v>2300</v>
      </c>
      <c r="C14" s="21" t="s">
        <v>61</v>
      </c>
      <c r="D14" s="22">
        <f t="shared" si="0"/>
        <v>2300</v>
      </c>
      <c r="E14" s="24"/>
    </row>
    <row r="15" spans="1:7">
      <c r="A15" s="25" t="s">
        <v>13</v>
      </c>
      <c r="B15" s="23">
        <v>450</v>
      </c>
      <c r="C15" s="21" t="s">
        <v>67</v>
      </c>
      <c r="D15" s="22" t="b">
        <f t="shared" si="0"/>
        <v>0</v>
      </c>
      <c r="E15" s="24"/>
      <c r="F15" t="s">
        <v>83</v>
      </c>
    </row>
    <row r="16" spans="1:7">
      <c r="A16" s="25" t="s">
        <v>14</v>
      </c>
      <c r="B16" s="20">
        <v>3050</v>
      </c>
      <c r="C16" s="21" t="s">
        <v>61</v>
      </c>
      <c r="D16" s="22">
        <f t="shared" si="0"/>
        <v>3050</v>
      </c>
      <c r="E16" s="24"/>
    </row>
    <row r="17" spans="1:6">
      <c r="A17" s="25" t="s">
        <v>16</v>
      </c>
      <c r="B17" s="23">
        <v>420</v>
      </c>
      <c r="C17" s="21" t="s">
        <v>67</v>
      </c>
      <c r="D17" s="22" t="b">
        <f t="shared" si="0"/>
        <v>0</v>
      </c>
      <c r="E17" s="24"/>
      <c r="F17" t="s">
        <v>83</v>
      </c>
    </row>
    <row r="18" spans="1:6">
      <c r="A18" s="25" t="s">
        <v>17</v>
      </c>
      <c r="B18" s="20">
        <v>1340</v>
      </c>
      <c r="C18" s="21" t="s">
        <v>61</v>
      </c>
      <c r="D18" s="22">
        <f t="shared" si="0"/>
        <v>1340</v>
      </c>
      <c r="E18" s="24"/>
    </row>
    <row r="19" spans="1:6">
      <c r="A19" s="26" t="s">
        <v>18</v>
      </c>
      <c r="B19" s="2">
        <v>420</v>
      </c>
      <c r="C19" s="21" t="s">
        <v>66</v>
      </c>
      <c r="D19" s="22">
        <f t="shared" si="0"/>
        <v>380</v>
      </c>
      <c r="E19" s="28">
        <f>+A30</f>
        <v>380</v>
      </c>
      <c r="F19" t="s">
        <v>71</v>
      </c>
    </row>
    <row r="20" spans="1:6">
      <c r="A20" s="26" t="s">
        <v>19</v>
      </c>
      <c r="B20" s="2">
        <v>5700</v>
      </c>
      <c r="C20" s="21" t="s">
        <v>61</v>
      </c>
      <c r="D20" s="22">
        <f t="shared" si="0"/>
        <v>5700</v>
      </c>
      <c r="E20" s="24"/>
    </row>
    <row r="21" spans="1:6">
      <c r="A21" s="26" t="s">
        <v>69</v>
      </c>
      <c r="B21" s="24"/>
      <c r="C21" s="24"/>
      <c r="D21" s="22">
        <f>+Datos!B50*12</f>
        <v>30000</v>
      </c>
      <c r="E21" s="24"/>
    </row>
    <row r="22" spans="1:6">
      <c r="A22" s="26" t="s">
        <v>70</v>
      </c>
      <c r="B22" s="24"/>
      <c r="C22" s="24"/>
      <c r="D22" s="22">
        <f>+Datos!B51</f>
        <v>14000</v>
      </c>
      <c r="E22" s="24"/>
    </row>
    <row r="24" spans="1:6">
      <c r="A24" s="16" t="s">
        <v>74</v>
      </c>
      <c r="B24" t="s">
        <v>75</v>
      </c>
      <c r="C24" s="1">
        <f>+C26-C27</f>
        <v>1500</v>
      </c>
    </row>
    <row r="25" spans="1:6">
      <c r="A25" s="15">
        <f>+C24+C25-C26</f>
        <v>15000</v>
      </c>
      <c r="B25" t="s">
        <v>76</v>
      </c>
      <c r="C25" s="1">
        <f>+Datos!B10</f>
        <v>16000</v>
      </c>
    </row>
    <row r="26" spans="1:6">
      <c r="B26" t="s">
        <v>77</v>
      </c>
      <c r="C26" s="1">
        <f>+Datos!B25</f>
        <v>2500</v>
      </c>
    </row>
    <row r="27" spans="1:6">
      <c r="B27" t="s">
        <v>78</v>
      </c>
      <c r="C27" s="1">
        <f>+Datos!B14</f>
        <v>1000</v>
      </c>
    </row>
    <row r="28" spans="1:6">
      <c r="C28" s="1"/>
    </row>
    <row r="29" spans="1:6">
      <c r="A29" s="51" t="s">
        <v>82</v>
      </c>
      <c r="B29" t="s">
        <v>76</v>
      </c>
      <c r="C29" s="1">
        <f>+Datos!B21</f>
        <v>420</v>
      </c>
    </row>
    <row r="30" spans="1:6">
      <c r="A30" s="19">
        <f>+C29-C30</f>
        <v>380</v>
      </c>
      <c r="B30" t="s">
        <v>77</v>
      </c>
      <c r="C30" s="1">
        <f>+Datos!B37</f>
        <v>40</v>
      </c>
    </row>
    <row r="32" spans="1:6">
      <c r="A32" s="17" t="s">
        <v>79</v>
      </c>
      <c r="C32" s="24" t="s">
        <v>80</v>
      </c>
      <c r="D32" s="24" t="s">
        <v>81</v>
      </c>
    </row>
    <row r="33" spans="1:4">
      <c r="A33" s="53" t="s">
        <v>1</v>
      </c>
      <c r="B33" s="22">
        <f>+D3</f>
        <v>150050</v>
      </c>
      <c r="C33" s="22">
        <f>+Datos!C41</f>
        <v>82000</v>
      </c>
      <c r="D33" s="22">
        <f>+B33-C33</f>
        <v>68050</v>
      </c>
    </row>
    <row r="34" spans="1:4">
      <c r="A34" s="53" t="s">
        <v>2</v>
      </c>
      <c r="B34" s="22">
        <f>+D4</f>
        <v>30480</v>
      </c>
      <c r="C34" s="24">
        <f>+B34*Datos!C42</f>
        <v>10160</v>
      </c>
      <c r="D34" s="24">
        <f>+B34*(Datos!D42+Datos!E42)</f>
        <v>20320</v>
      </c>
    </row>
    <row r="35" spans="1:4">
      <c r="A35" s="53" t="s">
        <v>3</v>
      </c>
      <c r="B35" s="22">
        <f>+D5</f>
        <v>47000</v>
      </c>
      <c r="C35" s="24"/>
      <c r="D35" s="24"/>
    </row>
    <row r="36" spans="1:4">
      <c r="A36" s="54" t="s">
        <v>50</v>
      </c>
      <c r="B36" s="22">
        <f>+B35*Datos!B45</f>
        <v>28200</v>
      </c>
      <c r="C36" s="22">
        <f>+B36</f>
        <v>28200</v>
      </c>
      <c r="D36" s="24"/>
    </row>
    <row r="37" spans="1:4">
      <c r="A37" s="54" t="s">
        <v>51</v>
      </c>
      <c r="B37" s="22">
        <f>+B35*Datos!B46</f>
        <v>9400</v>
      </c>
      <c r="C37" s="24"/>
      <c r="D37" s="22">
        <f>+B37</f>
        <v>9400</v>
      </c>
    </row>
    <row r="38" spans="1:4">
      <c r="A38" s="54" t="s">
        <v>52</v>
      </c>
      <c r="B38" s="22">
        <f>+B35-B36-B37</f>
        <v>9400</v>
      </c>
      <c r="C38" s="24"/>
      <c r="D38" s="24"/>
    </row>
    <row r="39" spans="1:4">
      <c r="A39" s="53" t="s">
        <v>4</v>
      </c>
      <c r="B39" s="22">
        <f>+D6</f>
        <v>3000</v>
      </c>
      <c r="C39" s="24"/>
      <c r="D39" s="22">
        <f>+B39</f>
        <v>3000</v>
      </c>
    </row>
    <row r="40" spans="1:4">
      <c r="A40" s="53" t="s">
        <v>5</v>
      </c>
      <c r="B40" s="22">
        <f>+D7</f>
        <v>440</v>
      </c>
      <c r="C40" s="22">
        <f>+B40</f>
        <v>440</v>
      </c>
      <c r="D40" s="24"/>
    </row>
    <row r="41" spans="1:4">
      <c r="A41" s="53" t="s">
        <v>6</v>
      </c>
      <c r="B41" s="22">
        <f>+D8</f>
        <v>3900</v>
      </c>
      <c r="C41" s="24"/>
      <c r="D41" s="22">
        <f>+B41</f>
        <v>3900</v>
      </c>
    </row>
    <row r="42" spans="1:4">
      <c r="A42" s="53" t="s">
        <v>7</v>
      </c>
      <c r="B42" s="22">
        <f>+D9</f>
        <v>600</v>
      </c>
      <c r="C42" s="24">
        <f>+B42/3</f>
        <v>200</v>
      </c>
      <c r="D42" s="24">
        <f>+B42/3*2</f>
        <v>400</v>
      </c>
    </row>
    <row r="43" spans="1:4">
      <c r="A43" s="53" t="s">
        <v>8</v>
      </c>
      <c r="B43" s="22">
        <f>+D10</f>
        <v>15000</v>
      </c>
      <c r="C43" s="22">
        <f>+B43</f>
        <v>15000</v>
      </c>
      <c r="D43" s="24"/>
    </row>
    <row r="44" spans="1:4">
      <c r="A44" s="53" t="s">
        <v>10</v>
      </c>
      <c r="B44" s="22">
        <f>+D12</f>
        <v>380</v>
      </c>
      <c r="C44" s="22">
        <f>+B44</f>
        <v>380</v>
      </c>
      <c r="D44" s="24"/>
    </row>
    <row r="45" spans="1:4">
      <c r="A45" s="53" t="s">
        <v>12</v>
      </c>
      <c r="B45" s="22">
        <f>+D14</f>
        <v>2300</v>
      </c>
      <c r="C45" s="24"/>
      <c r="D45" s="22">
        <f>+B45</f>
        <v>2300</v>
      </c>
    </row>
    <row r="46" spans="1:4">
      <c r="A46" s="53" t="s">
        <v>14</v>
      </c>
      <c r="B46" s="22">
        <f>+D16</f>
        <v>3050</v>
      </c>
      <c r="C46" s="24"/>
      <c r="D46" s="22">
        <f>+B46</f>
        <v>3050</v>
      </c>
    </row>
    <row r="47" spans="1:4">
      <c r="A47" s="53" t="s">
        <v>17</v>
      </c>
      <c r="B47" s="22">
        <f>+D18</f>
        <v>1340</v>
      </c>
      <c r="C47" s="24">
        <f>+Datos!D20*Solucion!B47</f>
        <v>1005</v>
      </c>
      <c r="D47" s="22">
        <f>+B47-C47</f>
        <v>335</v>
      </c>
    </row>
    <row r="48" spans="1:4">
      <c r="A48" s="55" t="s">
        <v>103</v>
      </c>
      <c r="B48" s="22">
        <f>+D19</f>
        <v>380</v>
      </c>
      <c r="C48" s="24"/>
      <c r="D48" s="22">
        <f>+B48</f>
        <v>380</v>
      </c>
    </row>
    <row r="49" spans="1:6">
      <c r="A49" s="55" t="s">
        <v>19</v>
      </c>
      <c r="B49" s="22">
        <f>+D20</f>
        <v>5700</v>
      </c>
      <c r="C49" s="24"/>
      <c r="D49" s="22">
        <f>+B49</f>
        <v>5700</v>
      </c>
    </row>
    <row r="50" spans="1:6">
      <c r="A50" s="55" t="s">
        <v>69</v>
      </c>
      <c r="B50" s="22">
        <f>+D21</f>
        <v>30000</v>
      </c>
      <c r="C50" s="24"/>
      <c r="D50" s="22">
        <f>+B50</f>
        <v>30000</v>
      </c>
    </row>
    <row r="51" spans="1:6">
      <c r="A51" s="55" t="s">
        <v>70</v>
      </c>
      <c r="B51" s="22">
        <f>+D22</f>
        <v>14000</v>
      </c>
      <c r="C51" s="24"/>
      <c r="D51" s="22">
        <f>+B51</f>
        <v>14000</v>
      </c>
    </row>
    <row r="53" spans="1:6" ht="15.75" customHeight="1">
      <c r="A53" s="66" t="s">
        <v>84</v>
      </c>
    </row>
    <row r="55" spans="1:6">
      <c r="A55" t="s">
        <v>74</v>
      </c>
      <c r="B55" s="1">
        <f>+E10</f>
        <v>15000</v>
      </c>
    </row>
    <row r="56" spans="1:6">
      <c r="A56" s="37" t="s">
        <v>131</v>
      </c>
      <c r="B56" s="38">
        <f>+Datos!C41*Datos!F41</f>
        <v>41000</v>
      </c>
    </row>
    <row r="57" spans="1:6">
      <c r="A57" s="56" t="s">
        <v>88</v>
      </c>
      <c r="B57" s="57">
        <f>+B55+B56</f>
        <v>56000</v>
      </c>
    </row>
    <row r="59" spans="1:6">
      <c r="A59" t="s">
        <v>104</v>
      </c>
    </row>
    <row r="60" spans="1:6">
      <c r="A60" s="33"/>
      <c r="B60" s="30" t="s">
        <v>65</v>
      </c>
      <c r="C60" s="29" t="s">
        <v>105</v>
      </c>
      <c r="D60" s="29" t="s">
        <v>86</v>
      </c>
      <c r="E60" s="29" t="s">
        <v>108</v>
      </c>
      <c r="F60" s="29" t="s">
        <v>129</v>
      </c>
    </row>
    <row r="61" spans="1:6">
      <c r="A61" s="34" t="s">
        <v>89</v>
      </c>
      <c r="B61" s="31">
        <f>+C33-B56+D33</f>
        <v>109050</v>
      </c>
      <c r="C61" s="24">
        <f>+Datos!C41*Datos!F41</f>
        <v>41000</v>
      </c>
      <c r="D61" s="22">
        <f>+Datos!D41</f>
        <v>44800</v>
      </c>
      <c r="E61" s="22">
        <f>+B61-C61-D61</f>
        <v>23250</v>
      </c>
      <c r="F61" s="24"/>
    </row>
    <row r="62" spans="1:6">
      <c r="A62" s="34" t="s">
        <v>90</v>
      </c>
      <c r="B62" s="31">
        <f>+B34</f>
        <v>30480</v>
      </c>
      <c r="C62" s="24">
        <f>+B62*Datos!C42</f>
        <v>10160</v>
      </c>
      <c r="D62" s="24">
        <f>+B62*Datos!D42</f>
        <v>10160</v>
      </c>
      <c r="E62" s="24">
        <f>+B62*Datos!E42</f>
        <v>10160</v>
      </c>
      <c r="F62" s="24"/>
    </row>
    <row r="63" spans="1:6">
      <c r="A63" s="34" t="s">
        <v>91</v>
      </c>
      <c r="B63" s="32"/>
      <c r="C63" s="24"/>
      <c r="D63" s="24"/>
      <c r="E63" s="24"/>
      <c r="F63" s="24"/>
    </row>
    <row r="64" spans="1:6">
      <c r="A64" s="35" t="s">
        <v>92</v>
      </c>
      <c r="B64" s="31">
        <f t="shared" ref="B64:B70" si="1">+B36</f>
        <v>28200</v>
      </c>
      <c r="C64" s="22">
        <f>+B64</f>
        <v>28200</v>
      </c>
      <c r="D64" s="24"/>
      <c r="E64" s="24"/>
      <c r="F64" s="24"/>
    </row>
    <row r="65" spans="1:7">
      <c r="A65" s="35" t="s">
        <v>93</v>
      </c>
      <c r="B65" s="31">
        <f t="shared" si="1"/>
        <v>9400</v>
      </c>
      <c r="C65" s="24"/>
      <c r="D65" s="24">
        <f>+B65*Datos!D46</f>
        <v>4700</v>
      </c>
      <c r="E65" s="24">
        <f>+B65*Datos!E46</f>
        <v>4700</v>
      </c>
      <c r="F65" s="24"/>
    </row>
    <row r="66" spans="1:7">
      <c r="A66" s="35" t="s">
        <v>94</v>
      </c>
      <c r="B66" s="31">
        <f t="shared" si="1"/>
        <v>9400</v>
      </c>
      <c r="C66" s="24"/>
      <c r="D66" s="24"/>
      <c r="E66" s="22">
        <f>+B66</f>
        <v>9400</v>
      </c>
      <c r="F66" s="24"/>
    </row>
    <row r="67" spans="1:7">
      <c r="A67" s="34" t="s">
        <v>95</v>
      </c>
      <c r="B67" s="31">
        <f t="shared" si="1"/>
        <v>3000</v>
      </c>
      <c r="C67" s="24"/>
      <c r="D67" s="24"/>
      <c r="E67" s="22">
        <f>+B67</f>
        <v>3000</v>
      </c>
      <c r="F67" s="24"/>
    </row>
    <row r="68" spans="1:7">
      <c r="A68" s="34" t="s">
        <v>96</v>
      </c>
      <c r="B68" s="31">
        <f t="shared" si="1"/>
        <v>440</v>
      </c>
      <c r="C68" s="22">
        <f>+B68</f>
        <v>440</v>
      </c>
      <c r="D68" s="24"/>
      <c r="E68" s="24"/>
      <c r="F68" s="24"/>
    </row>
    <row r="69" spans="1:7">
      <c r="A69" s="34" t="s">
        <v>97</v>
      </c>
      <c r="B69" s="31">
        <f t="shared" si="1"/>
        <v>3900</v>
      </c>
      <c r="C69" s="24"/>
      <c r="D69" s="24">
        <f>+Datos!D8*Solucion!B69</f>
        <v>3900</v>
      </c>
      <c r="E69" s="22"/>
      <c r="F69" s="24"/>
    </row>
    <row r="70" spans="1:7">
      <c r="A70" s="34" t="s">
        <v>98</v>
      </c>
      <c r="B70" s="31">
        <f t="shared" si="1"/>
        <v>600</v>
      </c>
      <c r="C70" s="24">
        <f>+B70/3</f>
        <v>200</v>
      </c>
      <c r="D70" s="24">
        <f>+B70/3</f>
        <v>200</v>
      </c>
      <c r="E70" s="24">
        <f>+B70/3</f>
        <v>200</v>
      </c>
      <c r="F70" s="24"/>
    </row>
    <row r="71" spans="1:7">
      <c r="A71" s="34" t="s">
        <v>99</v>
      </c>
      <c r="B71" s="31">
        <f t="shared" ref="B71:B76" si="2">+B44</f>
        <v>380</v>
      </c>
      <c r="C71" s="24"/>
      <c r="D71" s="24"/>
      <c r="E71" s="24"/>
      <c r="F71" s="22">
        <f>+B71</f>
        <v>380</v>
      </c>
    </row>
    <row r="72" spans="1:7">
      <c r="A72" s="34" t="s">
        <v>100</v>
      </c>
      <c r="B72" s="31">
        <f t="shared" si="2"/>
        <v>2300</v>
      </c>
      <c r="C72" s="24"/>
      <c r="D72" s="24">
        <f>+B72*Datos!D46</f>
        <v>1150</v>
      </c>
      <c r="E72" s="24">
        <f>+B72*Datos!E46</f>
        <v>1150</v>
      </c>
      <c r="F72" s="24"/>
    </row>
    <row r="73" spans="1:7">
      <c r="A73" s="34" t="s">
        <v>101</v>
      </c>
      <c r="B73" s="31">
        <f t="shared" si="2"/>
        <v>3050</v>
      </c>
      <c r="C73" s="24"/>
      <c r="D73" s="24">
        <f>+B73*Datos!D17</f>
        <v>3050</v>
      </c>
      <c r="E73" s="22"/>
      <c r="F73" s="24"/>
    </row>
    <row r="74" spans="1:7">
      <c r="A74" s="34" t="s">
        <v>102</v>
      </c>
      <c r="B74" s="31">
        <f t="shared" si="2"/>
        <v>1340</v>
      </c>
      <c r="C74" s="24">
        <f>+B74*Datos!D20</f>
        <v>1005</v>
      </c>
      <c r="D74" s="24">
        <f>+(B74-C74)/2</f>
        <v>167.5</v>
      </c>
      <c r="E74" s="24">
        <f>+(B74-C74)/2</f>
        <v>167.5</v>
      </c>
      <c r="F74" s="24"/>
    </row>
    <row r="75" spans="1:7">
      <c r="A75" s="34" t="s">
        <v>103</v>
      </c>
      <c r="B75" s="31">
        <f t="shared" si="2"/>
        <v>380</v>
      </c>
      <c r="C75" s="24"/>
      <c r="D75" s="24"/>
      <c r="E75" s="22">
        <f>+B75</f>
        <v>380</v>
      </c>
      <c r="F75" s="24"/>
    </row>
    <row r="76" spans="1:7">
      <c r="A76" s="34" t="s">
        <v>19</v>
      </c>
      <c r="B76" s="31">
        <f t="shared" si="2"/>
        <v>5700</v>
      </c>
      <c r="C76" s="24">
        <f>+IF(Datos!E22="Industrial",Solucion!B76,0)</f>
        <v>5700</v>
      </c>
      <c r="D76" s="24">
        <f>+IF(Datos!E22="Comercial",Datos!B22,0)</f>
        <v>0</v>
      </c>
      <c r="E76" s="22">
        <f>+IF(Datos!E22="Admon",Datos!B22,0)</f>
        <v>0</v>
      </c>
      <c r="F76" s="24"/>
    </row>
    <row r="77" spans="1:7">
      <c r="B77" s="68">
        <f>+SUM(B61:B76)</f>
        <v>207620</v>
      </c>
      <c r="C77" s="68">
        <f t="shared" ref="C77:F77" si="3">+SUM(C61:C76)</f>
        <v>86705</v>
      </c>
      <c r="D77" s="69">
        <f t="shared" si="3"/>
        <v>68127.5</v>
      </c>
      <c r="E77" s="69">
        <f t="shared" si="3"/>
        <v>52407.5</v>
      </c>
      <c r="F77" s="68">
        <f t="shared" si="3"/>
        <v>380</v>
      </c>
    </row>
    <row r="78" spans="1:7">
      <c r="G78" s="1"/>
    </row>
    <row r="79" spans="1:7">
      <c r="A79" s="36" t="s">
        <v>145</v>
      </c>
      <c r="D79" s="17" t="s">
        <v>115</v>
      </c>
    </row>
    <row r="81" spans="1:9">
      <c r="A81" s="58" t="s">
        <v>109</v>
      </c>
      <c r="B81" s="1">
        <f>+B55</f>
        <v>15000</v>
      </c>
      <c r="D81" s="58" t="s">
        <v>116</v>
      </c>
      <c r="F81" s="1">
        <f>+Datos!B18</f>
        <v>180000</v>
      </c>
      <c r="H81" s="62" t="s">
        <v>123</v>
      </c>
      <c r="I81" s="63">
        <f>+F81</f>
        <v>180000</v>
      </c>
    </row>
    <row r="82" spans="1:9">
      <c r="A82" s="59" t="s">
        <v>132</v>
      </c>
      <c r="B82" s="38">
        <f>+B56</f>
        <v>41000</v>
      </c>
      <c r="D82" s="59" t="s">
        <v>139</v>
      </c>
      <c r="E82" s="37"/>
      <c r="F82" s="38">
        <f>+B86</f>
        <v>142705</v>
      </c>
      <c r="H82" s="62" t="s">
        <v>144</v>
      </c>
      <c r="I82" s="64">
        <f>+B94</f>
        <v>307620</v>
      </c>
    </row>
    <row r="83" spans="1:9">
      <c r="A83" s="60" t="s">
        <v>110</v>
      </c>
      <c r="B83" s="39">
        <f>+B81+B82</f>
        <v>56000</v>
      </c>
      <c r="D83" s="58" t="s">
        <v>118</v>
      </c>
      <c r="F83" s="1">
        <f>+F81-F82</f>
        <v>37295</v>
      </c>
      <c r="H83" s="62" t="s">
        <v>124</v>
      </c>
      <c r="I83" s="65">
        <f>+I81-I82</f>
        <v>-127620</v>
      </c>
    </row>
    <row r="84" spans="1:9">
      <c r="A84" s="60" t="s">
        <v>133</v>
      </c>
      <c r="B84" s="39">
        <f>+C77</f>
        <v>86705</v>
      </c>
      <c r="D84" s="59" t="s">
        <v>140</v>
      </c>
      <c r="E84" s="37"/>
      <c r="F84" s="40">
        <f>+B89</f>
        <v>68127.5</v>
      </c>
    </row>
    <row r="85" spans="1:9">
      <c r="A85" s="61" t="s">
        <v>134</v>
      </c>
      <c r="B85" s="37"/>
      <c r="D85" s="58" t="s">
        <v>119</v>
      </c>
      <c r="F85" s="41">
        <f>+F83-F84</f>
        <v>-30832.5</v>
      </c>
    </row>
    <row r="86" spans="1:9">
      <c r="A86" s="58" t="s">
        <v>117</v>
      </c>
      <c r="B86" s="1">
        <f>+B83+B84</f>
        <v>142705</v>
      </c>
      <c r="D86" s="59" t="s">
        <v>141</v>
      </c>
      <c r="E86" s="37"/>
      <c r="F86" s="40">
        <f>+B91</f>
        <v>52407.5</v>
      </c>
    </row>
    <row r="87" spans="1:9">
      <c r="A87" s="59" t="s">
        <v>135</v>
      </c>
      <c r="B87" s="38">
        <f>+F77</f>
        <v>380</v>
      </c>
      <c r="D87" s="58" t="s">
        <v>120</v>
      </c>
      <c r="F87" s="41">
        <f>+F85-F86</f>
        <v>-83240</v>
      </c>
    </row>
    <row r="88" spans="1:9">
      <c r="A88" s="58" t="s">
        <v>111</v>
      </c>
      <c r="B88" s="1">
        <f>+B86+B87</f>
        <v>143085</v>
      </c>
      <c r="D88" s="59" t="s">
        <v>142</v>
      </c>
      <c r="E88" s="37"/>
      <c r="F88" s="38">
        <f>+B87</f>
        <v>380</v>
      </c>
    </row>
    <row r="89" spans="1:9">
      <c r="A89" s="59" t="s">
        <v>136</v>
      </c>
      <c r="B89" s="40">
        <f>+D77</f>
        <v>68127.5</v>
      </c>
      <c r="D89" s="58" t="s">
        <v>121</v>
      </c>
      <c r="F89" s="1">
        <f>+F87-F88</f>
        <v>-83620</v>
      </c>
    </row>
    <row r="90" spans="1:9">
      <c r="A90" s="58" t="s">
        <v>112</v>
      </c>
      <c r="B90" s="41">
        <f>+B88+B89</f>
        <v>211212.5</v>
      </c>
      <c r="D90" s="59" t="s">
        <v>143</v>
      </c>
      <c r="E90" s="37"/>
      <c r="F90" s="38">
        <f>+B93</f>
        <v>44000</v>
      </c>
    </row>
    <row r="91" spans="1:9">
      <c r="A91" s="59" t="s">
        <v>137</v>
      </c>
      <c r="B91" s="40">
        <f>+E77</f>
        <v>52407.5</v>
      </c>
      <c r="D91" s="58" t="s">
        <v>122</v>
      </c>
      <c r="F91" s="1">
        <f>+F89-F90</f>
        <v>-127620</v>
      </c>
    </row>
    <row r="92" spans="1:9">
      <c r="A92" s="58" t="s">
        <v>113</v>
      </c>
      <c r="B92" s="41">
        <f>+B90+B91</f>
        <v>263620</v>
      </c>
    </row>
    <row r="93" spans="1:9">
      <c r="A93" s="59" t="s">
        <v>138</v>
      </c>
      <c r="B93" s="38">
        <f>+D50+D51</f>
        <v>44000</v>
      </c>
    </row>
    <row r="94" spans="1:9">
      <c r="A94" s="58" t="s">
        <v>114</v>
      </c>
      <c r="B94" s="1">
        <f>+B92+B93</f>
        <v>307620</v>
      </c>
    </row>
    <row r="96" spans="1:9">
      <c r="A96" s="17" t="s">
        <v>125</v>
      </c>
    </row>
    <row r="97" spans="1:1">
      <c r="A97" t="s">
        <v>126</v>
      </c>
    </row>
  </sheetData>
  <mergeCells count="1"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Solucion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</dc:creator>
  <cp:lastModifiedBy>Pc</cp:lastModifiedBy>
  <dcterms:created xsi:type="dcterms:W3CDTF">2015-01-30T08:43:26Z</dcterms:created>
  <dcterms:modified xsi:type="dcterms:W3CDTF">2015-02-04T16:23:34Z</dcterms:modified>
</cp:coreProperties>
</file>