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1565" windowHeight="7425" activeTab="2"/>
  </bookViews>
  <sheets>
    <sheet name="Indice" sheetId="12" r:id="rId1"/>
    <sheet name="Enunciado" sheetId="11" r:id="rId2"/>
    <sheet name="Solución" sheetId="7" r:id="rId3"/>
  </sheets>
  <externalReferences>
    <externalReference r:id="rId4"/>
    <externalReference r:id="rId5"/>
  </externalReferences>
  <definedNames>
    <definedName name="Apartado1a">Solución!$A$1</definedName>
    <definedName name="apartado1b">Solución!$A$30</definedName>
    <definedName name="Apartado2">Solución!$A$58</definedName>
    <definedName name="Apartado3">Solución!$A$90</definedName>
    <definedName name="Apartado4">Solución!$A$125</definedName>
    <definedName name="Apartado5">Solución!$A$153</definedName>
    <definedName name="costes_centros_tratamientos">'[1]Cálculo Costes'!$B$38:$K$67</definedName>
    <definedName name="COSTES_RECOGIDAS">'[1]Cálculo Costes'!$A$3:$P$15</definedName>
    <definedName name="driver_MOD">#REF!</definedName>
    <definedName name="lista_actividades">'[2]Coste Factores PTV'!$S$1:$S$17</definedName>
    <definedName name="N0aN1">#REF!</definedName>
    <definedName name="SE_PIDE">Enunciado!$B$109:$F$116</definedName>
    <definedName name="Tabla_1">Enunciado!$A$1:$E$19</definedName>
    <definedName name="Tabla_2">Enunciado!$A$29:$J$40</definedName>
    <definedName name="Tabla_3">Enunciado!$A$43:$G$54</definedName>
    <definedName name="Tabla_4">Enunciado!$A$58:$E$65</definedName>
    <definedName name="Tabla_5">Enunciado!$B$85:$F$105</definedName>
    <definedName name="Tabla_X">Enunciado!$A$21:$K$27</definedName>
    <definedName name="TablaSol01">Solución!$B$5:$G$25</definedName>
    <definedName name="TablaSol02">Solución!$B$33:$F$51</definedName>
    <definedName name="TablaSol03">Solución!$A$61:$J$65</definedName>
    <definedName name="TablaSol04">Solución!$B$73:$H$82</definedName>
    <definedName name="TablaSol05">Solución!$A$93:$I$103</definedName>
    <definedName name="TablaSol06">Solución!$B$110:$H$119</definedName>
    <definedName name="TablaSol07">Solución!$A$128:$F$138</definedName>
    <definedName name="TablaSol08">Solución!$B$143:$H$148</definedName>
    <definedName name="TablaSol09">Solución!$B$175:$E$194</definedName>
  </definedNames>
  <calcPr calcId="145621"/>
</workbook>
</file>

<file path=xl/calcChain.xml><?xml version="1.0" encoding="utf-8"?>
<calcChain xmlns="http://schemas.openxmlformats.org/spreadsheetml/2006/main">
  <c r="B26" i="12" l="1"/>
  <c r="A26" i="12"/>
  <c r="B23" i="12"/>
  <c r="A23" i="12"/>
  <c r="B20" i="12"/>
  <c r="A20" i="12"/>
  <c r="B17" i="12"/>
  <c r="A17" i="12"/>
  <c r="B15" i="12"/>
  <c r="B13" i="12"/>
  <c r="B27" i="12"/>
  <c r="B25" i="12"/>
  <c r="B24" i="12"/>
  <c r="B22" i="12"/>
  <c r="B21" i="12"/>
  <c r="B19" i="12"/>
  <c r="B18" i="12"/>
  <c r="B16" i="12"/>
  <c r="C30" i="11" l="1" a="1"/>
  <c r="C30" i="11" s="1"/>
  <c r="C62" i="7" a="1"/>
  <c r="D62" i="7" s="1"/>
  <c r="A63" i="7" a="1"/>
  <c r="A63" i="7" s="1"/>
  <c r="B86" i="11" a="1"/>
  <c r="B87" i="11" s="1"/>
  <c r="B86" i="11"/>
  <c r="C85" i="11" a="1"/>
  <c r="C85" i="11" s="1"/>
  <c r="C103" i="11"/>
  <c r="D103" i="11"/>
  <c r="E103" i="11"/>
  <c r="F103" i="11"/>
  <c r="C44" i="11" a="1"/>
  <c r="E44" i="11" s="1"/>
  <c r="C43" i="11"/>
  <c r="A45" i="11"/>
  <c r="F50" i="11"/>
  <c r="F49" i="11"/>
  <c r="F48" i="11"/>
  <c r="F47" i="11"/>
  <c r="F46" i="11"/>
  <c r="F45" i="11"/>
  <c r="B45" i="11" a="1"/>
  <c r="B48" i="11" s="1"/>
  <c r="C21" i="11"/>
  <c r="A23" i="11" a="1"/>
  <c r="A23" i="11" s="1"/>
  <c r="J23" i="11"/>
  <c r="C22" i="11" a="1"/>
  <c r="E22" i="11" s="1"/>
  <c r="B23" i="11" a="1"/>
  <c r="B23" i="11" s="1"/>
  <c r="B31" i="11" a="1"/>
  <c r="B31" i="11" s="1"/>
  <c r="I37" i="11"/>
  <c r="I36" i="11"/>
  <c r="I35" i="11"/>
  <c r="I34" i="11"/>
  <c r="I33" i="11"/>
  <c r="I32" i="11"/>
  <c r="I31" i="11"/>
  <c r="E15" i="11"/>
  <c r="E14" i="11"/>
  <c r="E13" i="11"/>
  <c r="E12" i="11"/>
  <c r="E11" i="11"/>
  <c r="E10" i="11"/>
  <c r="I9" i="11"/>
  <c r="I4" i="11"/>
  <c r="I3" i="11"/>
  <c r="I10" i="11" s="1"/>
  <c r="E2" i="11"/>
  <c r="C60" i="11"/>
  <c r="H30" i="11" l="1"/>
  <c r="G30" i="11"/>
  <c r="F30" i="11"/>
  <c r="E30" i="11"/>
  <c r="D30" i="11"/>
  <c r="I62" i="7"/>
  <c r="J62" i="7"/>
  <c r="H62" i="7"/>
  <c r="G62" i="7"/>
  <c r="F62" i="7"/>
  <c r="E62" i="7"/>
  <c r="C62" i="7"/>
  <c r="B63" i="7"/>
  <c r="B93" i="11"/>
  <c r="B100" i="11"/>
  <c r="B92" i="11"/>
  <c r="B99" i="11"/>
  <c r="B91" i="11"/>
  <c r="B90" i="11"/>
  <c r="B97" i="11"/>
  <c r="B89" i="11"/>
  <c r="B94" i="11"/>
  <c r="B96" i="11"/>
  <c r="B88" i="11"/>
  <c r="B102" i="11"/>
  <c r="B101" i="11"/>
  <c r="B98" i="11"/>
  <c r="B95" i="11"/>
  <c r="F85" i="11"/>
  <c r="E85" i="11"/>
  <c r="D85" i="11"/>
  <c r="B49" i="11"/>
  <c r="B45" i="11"/>
  <c r="B47" i="11"/>
  <c r="D44" i="11"/>
  <c r="C44" i="11"/>
  <c r="B46" i="11"/>
  <c r="B50" i="11"/>
  <c r="I22" i="11"/>
  <c r="D22" i="11"/>
  <c r="G22" i="11"/>
  <c r="F22" i="11"/>
  <c r="C22" i="11"/>
  <c r="H22" i="11"/>
  <c r="B36" i="11"/>
  <c r="B34" i="11"/>
  <c r="B33" i="11"/>
  <c r="B37" i="11"/>
  <c r="B35" i="11"/>
  <c r="B32" i="11"/>
  <c r="F16" i="11" a="1"/>
  <c r="I17" i="11" s="1"/>
  <c r="C63" i="11"/>
  <c r="H16" i="11" l="1"/>
  <c r="J18" i="11"/>
  <c r="G17" i="11"/>
  <c r="I18" i="11"/>
  <c r="G18" i="11"/>
  <c r="J16" i="11"/>
  <c r="F16" i="11"/>
  <c r="J17" i="11"/>
  <c r="H17" i="11"/>
  <c r="K16" i="11"/>
  <c r="F17" i="11"/>
  <c r="H18" i="11"/>
  <c r="K17" i="11"/>
  <c r="F18" i="11"/>
  <c r="I16" i="11"/>
  <c r="K18" i="11"/>
  <c r="G16" i="11"/>
  <c r="D61" i="11"/>
  <c r="D62" i="11"/>
  <c r="D63" i="11"/>
  <c r="D59" i="11"/>
  <c r="D60" i="11"/>
  <c r="E18" i="11" l="1"/>
  <c r="E16" i="11"/>
  <c r="E17" i="11"/>
  <c r="F143" i="7" a="1"/>
  <c r="G143" i="7" s="1"/>
  <c r="F110" i="7" a="1"/>
  <c r="G110" i="7" s="1"/>
  <c r="F73" i="7" a="1"/>
  <c r="G73" i="7" s="1"/>
  <c r="C6" i="7" a="1"/>
  <c r="F9" i="7" s="1"/>
  <c r="B6" i="7" a="1"/>
  <c r="B15" i="7" s="1"/>
  <c r="C110" i="7" a="1"/>
  <c r="F73" i="7" l="1"/>
  <c r="F143" i="7"/>
  <c r="F110" i="7"/>
  <c r="D110" i="7"/>
  <c r="C110" i="7"/>
  <c r="E110" i="7"/>
  <c r="E21" i="7"/>
  <c r="E19" i="7"/>
  <c r="E17" i="7"/>
  <c r="E15" i="7"/>
  <c r="E13" i="7"/>
  <c r="E11" i="7"/>
  <c r="E9" i="7"/>
  <c r="E7" i="7"/>
  <c r="D21" i="7"/>
  <c r="D19" i="7"/>
  <c r="D17" i="7"/>
  <c r="D15" i="7"/>
  <c r="D13" i="7"/>
  <c r="D11" i="7"/>
  <c r="D9" i="7"/>
  <c r="D7" i="7"/>
  <c r="C20" i="7"/>
  <c r="C14" i="7"/>
  <c r="C10" i="7"/>
  <c r="F19" i="7"/>
  <c r="F17" i="7"/>
  <c r="F13" i="7"/>
  <c r="F11" i="7"/>
  <c r="F7" i="7"/>
  <c r="C21" i="7"/>
  <c r="C19" i="7"/>
  <c r="C17" i="7"/>
  <c r="C15" i="7"/>
  <c r="C13" i="7"/>
  <c r="C11" i="7"/>
  <c r="C9" i="7"/>
  <c r="G9" i="7" s="1"/>
  <c r="C7" i="7"/>
  <c r="G7" i="7" s="1"/>
  <c r="F22" i="7"/>
  <c r="F8" i="7"/>
  <c r="C18" i="7"/>
  <c r="C12" i="7"/>
  <c r="C8" i="7"/>
  <c r="F20" i="7"/>
  <c r="F18" i="7"/>
  <c r="F16" i="7"/>
  <c r="F14" i="7"/>
  <c r="F12" i="7"/>
  <c r="F10" i="7"/>
  <c r="F6" i="7"/>
  <c r="E22" i="7"/>
  <c r="E20" i="7"/>
  <c r="E18" i="7"/>
  <c r="E16" i="7"/>
  <c r="E14" i="7"/>
  <c r="E12" i="7"/>
  <c r="E10" i="7"/>
  <c r="E8" i="7"/>
  <c r="E6" i="7"/>
  <c r="D22" i="7"/>
  <c r="D20" i="7"/>
  <c r="D18" i="7"/>
  <c r="D16" i="7"/>
  <c r="D14" i="7"/>
  <c r="D12" i="7"/>
  <c r="D10" i="7"/>
  <c r="D8" i="7"/>
  <c r="D6" i="7"/>
  <c r="C22" i="7"/>
  <c r="C6" i="7"/>
  <c r="C16" i="7"/>
  <c r="F21" i="7"/>
  <c r="F15" i="7"/>
  <c r="B22" i="7"/>
  <c r="B14" i="7"/>
  <c r="B6" i="7"/>
  <c r="B21" i="7"/>
  <c r="B13" i="7"/>
  <c r="B20" i="7"/>
  <c r="B12" i="7"/>
  <c r="B7" i="7"/>
  <c r="B9" i="7"/>
  <c r="B19" i="7"/>
  <c r="B11" i="7"/>
  <c r="B18" i="7"/>
  <c r="B10" i="7"/>
  <c r="B17" i="7"/>
  <c r="B16" i="7"/>
  <c r="B8" i="7"/>
  <c r="B33" i="7" l="1" a="1"/>
  <c r="B95" i="7" a="1"/>
  <c r="B111" i="7" a="1"/>
  <c r="B113" i="7" s="1"/>
  <c r="G18" i="7"/>
  <c r="C5" i="7" a="1"/>
  <c r="G16" i="7"/>
  <c r="G11" i="7"/>
  <c r="G13" i="7"/>
  <c r="G19" i="7"/>
  <c r="G21" i="7"/>
  <c r="G6" i="7"/>
  <c r="K23" i="11" s="1" a="1"/>
  <c r="K23" i="11" s="1"/>
  <c r="C63" i="7" s="1" a="1"/>
  <c r="G20" i="7"/>
  <c r="G22" i="7"/>
  <c r="G8" i="7"/>
  <c r="G12" i="7"/>
  <c r="G15" i="7"/>
  <c r="G17" i="7"/>
  <c r="G10" i="7"/>
  <c r="G14" i="7"/>
  <c r="C143" i="7" a="1"/>
  <c r="D143" i="7" s="1"/>
  <c r="C145" i="7" l="1"/>
  <c r="C146" i="7"/>
  <c r="C144" i="7"/>
  <c r="C144" i="7" a="1"/>
  <c r="C74" i="7" a="1"/>
  <c r="C75" i="7" s="1"/>
  <c r="D63" i="7"/>
  <c r="F63" i="7"/>
  <c r="E63" i="7"/>
  <c r="G63" i="7"/>
  <c r="I63" i="7"/>
  <c r="C63" i="7"/>
  <c r="H63" i="7"/>
  <c r="J63" i="7"/>
  <c r="B33" i="7"/>
  <c r="B48" i="7"/>
  <c r="B44" i="7"/>
  <c r="B49" i="7"/>
  <c r="B40" i="7"/>
  <c r="B43" i="7"/>
  <c r="B46" i="7"/>
  <c r="B35" i="7"/>
  <c r="B38" i="7"/>
  <c r="B50" i="7"/>
  <c r="B45" i="7"/>
  <c r="B42" i="7"/>
  <c r="B41" i="7"/>
  <c r="B51" i="7"/>
  <c r="B39" i="7"/>
  <c r="B37" i="7"/>
  <c r="B34" i="7"/>
  <c r="B36" i="7"/>
  <c r="B47" i="7"/>
  <c r="C111" i="7" a="1"/>
  <c r="C113" i="7" s="1"/>
  <c r="F113" i="7"/>
  <c r="D33" i="7" a="1"/>
  <c r="B116" i="7"/>
  <c r="B112" i="7"/>
  <c r="B111" i="7"/>
  <c r="B115" i="7"/>
  <c r="B114" i="7"/>
  <c r="B96" i="7"/>
  <c r="B95" i="7"/>
  <c r="B98" i="7"/>
  <c r="B97" i="7"/>
  <c r="B101" i="7"/>
  <c r="B100" i="7"/>
  <c r="B99" i="7"/>
  <c r="C5" i="7"/>
  <c r="E5" i="7"/>
  <c r="D5" i="7"/>
  <c r="C143" i="7"/>
  <c r="F5" i="7"/>
  <c r="E143" i="7"/>
  <c r="C80" i="7" l="1"/>
  <c r="C74" i="7"/>
  <c r="C76" i="7"/>
  <c r="C78" i="7"/>
  <c r="C79" i="7"/>
  <c r="C77" i="7"/>
  <c r="D74" i="7" a="1"/>
  <c r="E33" i="7"/>
  <c r="E40" i="7"/>
  <c r="E50" i="7"/>
  <c r="E51" i="7"/>
  <c r="D50" i="7"/>
  <c r="E38" i="7"/>
  <c r="D51" i="7"/>
  <c r="D34" i="7"/>
  <c r="D49" i="7"/>
  <c r="E47" i="7"/>
  <c r="E44" i="7"/>
  <c r="D35" i="7"/>
  <c r="E45" i="7"/>
  <c r="D41" i="7"/>
  <c r="E39" i="7"/>
  <c r="E36" i="7"/>
  <c r="E46" i="7"/>
  <c r="E41" i="7"/>
  <c r="D45" i="7"/>
  <c r="D38" i="7"/>
  <c r="D43" i="7"/>
  <c r="D37" i="7"/>
  <c r="D47" i="7"/>
  <c r="D48" i="7"/>
  <c r="E42" i="7"/>
  <c r="E37" i="7"/>
  <c r="E35" i="7"/>
  <c r="D42" i="7"/>
  <c r="D46" i="7"/>
  <c r="E48" i="7"/>
  <c r="D33" i="7"/>
  <c r="D39" i="7"/>
  <c r="D40" i="7"/>
  <c r="E34" i="7"/>
  <c r="E43" i="7"/>
  <c r="D44" i="7"/>
  <c r="D36" i="7"/>
  <c r="E49" i="7"/>
  <c r="G113" i="7"/>
  <c r="A155" i="7" a="1"/>
  <c r="C114" i="7"/>
  <c r="C112" i="7"/>
  <c r="G111" i="7"/>
  <c r="F111" i="7"/>
  <c r="C115" i="7"/>
  <c r="F114" i="7"/>
  <c r="G114" i="7"/>
  <c r="C111" i="7"/>
  <c r="F116" i="7"/>
  <c r="G116" i="7"/>
  <c r="C116" i="7"/>
  <c r="G115" i="7"/>
  <c r="F115" i="7"/>
  <c r="F112" i="7"/>
  <c r="G112" i="7"/>
  <c r="B74" i="7" a="1"/>
  <c r="C23" i="7"/>
  <c r="F23" i="7"/>
  <c r="E23" i="7"/>
  <c r="D23" i="7"/>
  <c r="D74" i="7" l="1"/>
  <c r="D80" i="7"/>
  <c r="D79" i="7"/>
  <c r="D77" i="7"/>
  <c r="D76" i="7"/>
  <c r="D78" i="7"/>
  <c r="D75" i="7"/>
  <c r="B155" i="7"/>
  <c r="A161" i="7"/>
  <c r="E156" i="7"/>
  <c r="J156" i="7" s="1"/>
  <c r="B169" i="7"/>
  <c r="A164" i="7"/>
  <c r="A167" i="7"/>
  <c r="D171" i="7"/>
  <c r="E158" i="7"/>
  <c r="C158" i="7"/>
  <c r="D167" i="7"/>
  <c r="E169" i="7"/>
  <c r="A157" i="7"/>
  <c r="B172" i="7"/>
  <c r="C159" i="7"/>
  <c r="D172" i="7"/>
  <c r="A166" i="7"/>
  <c r="E160" i="7"/>
  <c r="C165" i="7"/>
  <c r="A170" i="7"/>
  <c r="B157" i="7"/>
  <c r="A171" i="7"/>
  <c r="C164" i="7"/>
  <c r="C155" i="7"/>
  <c r="E157" i="7"/>
  <c r="B159" i="7"/>
  <c r="D155" i="7"/>
  <c r="D166" i="7"/>
  <c r="B166" i="7"/>
  <c r="E166" i="7"/>
  <c r="A165" i="7"/>
  <c r="C167" i="7"/>
  <c r="B171" i="7"/>
  <c r="A163" i="7"/>
  <c r="C156" i="7"/>
  <c r="A156" i="7"/>
  <c r="D160" i="7"/>
  <c r="B165" i="7"/>
  <c r="D169" i="7"/>
  <c r="C161" i="7"/>
  <c r="E168" i="7"/>
  <c r="C163" i="7"/>
  <c r="E165" i="7"/>
  <c r="A168" i="7"/>
  <c r="E159" i="7"/>
  <c r="A172" i="7"/>
  <c r="E171" i="7"/>
  <c r="A159" i="7"/>
  <c r="D163" i="7"/>
  <c r="I163" i="7" s="1"/>
  <c r="C166" i="7"/>
  <c r="B158" i="7"/>
  <c r="D165" i="7"/>
  <c r="E161" i="7"/>
  <c r="D170" i="7"/>
  <c r="E163" i="7"/>
  <c r="J163" i="7" s="1"/>
  <c r="A169" i="7"/>
  <c r="D157" i="7"/>
  <c r="I156" i="7" s="1"/>
  <c r="A158" i="7"/>
  <c r="B164" i="7"/>
  <c r="B163" i="7"/>
  <c r="D156" i="7"/>
  <c r="C170" i="7"/>
  <c r="B170" i="7"/>
  <c r="C157" i="7"/>
  <c r="A162" i="7"/>
  <c r="E164" i="7"/>
  <c r="A155" i="7"/>
  <c r="C162" i="7"/>
  <c r="B160" i="7"/>
  <c r="C169" i="7"/>
  <c r="E167" i="7"/>
  <c r="D159" i="7"/>
  <c r="I159" i="7" s="1"/>
  <c r="E172" i="7"/>
  <c r="D162" i="7"/>
  <c r="A160" i="7"/>
  <c r="C172" i="7"/>
  <c r="B167" i="7"/>
  <c r="D168" i="7"/>
  <c r="E155" i="7"/>
  <c r="C160" i="7"/>
  <c r="D161" i="7"/>
  <c r="E170" i="7"/>
  <c r="C171" i="7"/>
  <c r="D158" i="7"/>
  <c r="B168" i="7"/>
  <c r="E162" i="7"/>
  <c r="C168" i="7"/>
  <c r="B161" i="7"/>
  <c r="B156" i="7"/>
  <c r="B162" i="7"/>
  <c r="D164" i="7"/>
  <c r="I164" i="7" s="1"/>
  <c r="B74" i="7"/>
  <c r="B78" i="7"/>
  <c r="B77" i="7"/>
  <c r="B80" i="7"/>
  <c r="B79" i="7"/>
  <c r="B75" i="7"/>
  <c r="B76" i="7"/>
  <c r="H23" i="7"/>
  <c r="G23" i="7"/>
  <c r="B175" i="7" l="1" a="1"/>
  <c r="B192" i="7" s="1"/>
  <c r="J159" i="7"/>
  <c r="J170" i="7"/>
  <c r="J164" i="7"/>
  <c r="C33" i="7" a="1"/>
  <c r="C51" i="7" s="1"/>
  <c r="G76" i="7"/>
  <c r="F76" i="7"/>
  <c r="G74" i="7"/>
  <c r="F74" i="7"/>
  <c r="F79" i="7"/>
  <c r="G79" i="7"/>
  <c r="F78" i="7"/>
  <c r="G78" i="7"/>
  <c r="F75" i="7"/>
  <c r="G75" i="7"/>
  <c r="G80" i="7"/>
  <c r="F80" i="7"/>
  <c r="F77" i="7"/>
  <c r="G77" i="7"/>
  <c r="C129" i="7" a="1"/>
  <c r="C129" i="7" s="1"/>
  <c r="C118" i="7"/>
  <c r="B181" i="7" l="1"/>
  <c r="B190" i="7"/>
  <c r="B187" i="7"/>
  <c r="B186" i="7"/>
  <c r="B176" i="7"/>
  <c r="B185" i="7"/>
  <c r="B188" i="7"/>
  <c r="B184" i="7"/>
  <c r="B175" i="7"/>
  <c r="B179" i="7"/>
  <c r="B183" i="7"/>
  <c r="B180" i="7"/>
  <c r="B177" i="7"/>
  <c r="B191" i="7"/>
  <c r="B189" i="7"/>
  <c r="B182" i="7"/>
  <c r="B178" i="7"/>
  <c r="C94" i="7" a="1"/>
  <c r="F94" i="7" s="1"/>
  <c r="C33" i="7"/>
  <c r="C35" i="7"/>
  <c r="F35" i="7" s="1"/>
  <c r="C37" i="7"/>
  <c r="F37" i="7" s="1"/>
  <c r="C40" i="7"/>
  <c r="F40" i="7" s="1"/>
  <c r="C45" i="7"/>
  <c r="F45" i="7" s="1"/>
  <c r="C38" i="7"/>
  <c r="F38" i="7" s="1"/>
  <c r="C41" i="7"/>
  <c r="F41" i="7" s="1"/>
  <c r="C50" i="7"/>
  <c r="F50" i="7" s="1"/>
  <c r="C48" i="7"/>
  <c r="F48" i="7" s="1"/>
  <c r="C44" i="7"/>
  <c r="F44" i="7" s="1"/>
  <c r="C49" i="7"/>
  <c r="F49" i="7" s="1"/>
  <c r="C36" i="7"/>
  <c r="F36" i="7" s="1"/>
  <c r="C39" i="7"/>
  <c r="F39" i="7" s="1"/>
  <c r="C43" i="7"/>
  <c r="F43" i="7" s="1"/>
  <c r="C34" i="7"/>
  <c r="C46" i="7"/>
  <c r="F46" i="7" s="1"/>
  <c r="C47" i="7"/>
  <c r="F47" i="7" s="1"/>
  <c r="C42" i="7"/>
  <c r="F42" i="7" s="1"/>
  <c r="E129" i="7"/>
  <c r="D129" i="7"/>
  <c r="H94" i="7" l="1"/>
  <c r="E94" i="7"/>
  <c r="D81" i="7"/>
  <c r="G94" i="7"/>
  <c r="G157" i="7" a="1"/>
  <c r="G157" i="7" s="1"/>
  <c r="D94" i="7"/>
  <c r="C94" i="7"/>
  <c r="F34" i="7"/>
  <c r="F156" i="7" a="1"/>
  <c r="B144" i="7" a="1"/>
  <c r="B145" i="7" s="1"/>
  <c r="C147" i="7"/>
  <c r="G162" i="7" l="1"/>
  <c r="G163" i="7"/>
  <c r="L163" i="7" s="1"/>
  <c r="G160" i="7"/>
  <c r="G161" i="7"/>
  <c r="G158" i="7"/>
  <c r="G159" i="7"/>
  <c r="F158" i="7"/>
  <c r="F171" i="7"/>
  <c r="F166" i="7"/>
  <c r="F170" i="7"/>
  <c r="F163" i="7"/>
  <c r="K163" i="7" s="1"/>
  <c r="F162" i="7"/>
  <c r="F161" i="7"/>
  <c r="F157" i="7"/>
  <c r="H157" i="7" s="1"/>
  <c r="F168" i="7"/>
  <c r="F172" i="7"/>
  <c r="F160" i="7"/>
  <c r="F164" i="7"/>
  <c r="F167" i="7"/>
  <c r="F156" i="7"/>
  <c r="F159" i="7"/>
  <c r="F169" i="7"/>
  <c r="F165" i="7"/>
  <c r="F145" i="7"/>
  <c r="G145" i="7"/>
  <c r="B146" i="7"/>
  <c r="B144" i="7"/>
  <c r="C81" i="7"/>
  <c r="E76" i="7"/>
  <c r="H76" i="7" s="1"/>
  <c r="E75" i="7"/>
  <c r="H75" i="7" s="1"/>
  <c r="E80" i="7"/>
  <c r="H80" i="7" s="1"/>
  <c r="E79" i="7"/>
  <c r="H79" i="7" s="1"/>
  <c r="E77" i="7"/>
  <c r="H77" i="7" s="1"/>
  <c r="E78" i="7"/>
  <c r="H78" i="7" s="1"/>
  <c r="H161" i="7" l="1"/>
  <c r="H159" i="7"/>
  <c r="H162" i="7"/>
  <c r="H158" i="7"/>
  <c r="L159" i="7"/>
  <c r="H163" i="7"/>
  <c r="M163" i="7" s="1"/>
  <c r="C183" i="7" s="1"/>
  <c r="H160" i="7"/>
  <c r="K159" i="7"/>
  <c r="K164" i="7"/>
  <c r="K170" i="7"/>
  <c r="K156" i="7"/>
  <c r="M156" i="7" s="1"/>
  <c r="C176" i="7" s="1"/>
  <c r="H156" i="7"/>
  <c r="G144" i="7"/>
  <c r="F144" i="7"/>
  <c r="F146" i="7"/>
  <c r="G146" i="7"/>
  <c r="E74" i="7"/>
  <c r="J31" i="11" s="1" a="1"/>
  <c r="E81" i="7"/>
  <c r="M159" i="7" l="1"/>
  <c r="C179" i="7" s="1"/>
  <c r="J35" i="11"/>
  <c r="J32" i="11"/>
  <c r="J36" i="11"/>
  <c r="J31" i="11"/>
  <c r="J33" i="11"/>
  <c r="J37" i="11"/>
  <c r="J34" i="11"/>
  <c r="H74" i="7"/>
  <c r="J38" i="11" l="1"/>
  <c r="C95" i="7" a="1"/>
  <c r="D95" i="7" l="1"/>
  <c r="F101" i="7"/>
  <c r="F97" i="7"/>
  <c r="H98" i="7"/>
  <c r="H100" i="7"/>
  <c r="G96" i="7"/>
  <c r="H99" i="7"/>
  <c r="C100" i="7"/>
  <c r="F98" i="7"/>
  <c r="E98" i="7"/>
  <c r="H96" i="7"/>
  <c r="F100" i="7"/>
  <c r="C96" i="7"/>
  <c r="E99" i="7"/>
  <c r="C95" i="7"/>
  <c r="D96" i="7"/>
  <c r="D101" i="7"/>
  <c r="C101" i="7"/>
  <c r="F99" i="7"/>
  <c r="E95" i="7"/>
  <c r="E101" i="7"/>
  <c r="G99" i="7"/>
  <c r="D98" i="7"/>
  <c r="H101" i="7"/>
  <c r="G101" i="7"/>
  <c r="G97" i="7"/>
  <c r="G98" i="7"/>
  <c r="D97" i="7"/>
  <c r="C97" i="7"/>
  <c r="F95" i="7"/>
  <c r="D99" i="7"/>
  <c r="E100" i="7"/>
  <c r="D100" i="7"/>
  <c r="E97" i="7"/>
  <c r="H95" i="7"/>
  <c r="G95" i="7"/>
  <c r="G100" i="7"/>
  <c r="H97" i="7"/>
  <c r="C99" i="7"/>
  <c r="F96" i="7"/>
  <c r="E96" i="7"/>
  <c r="C98" i="7"/>
  <c r="I101" i="7" l="1"/>
  <c r="I95" i="7"/>
  <c r="I99" i="7"/>
  <c r="C102" i="7"/>
  <c r="I100" i="7"/>
  <c r="F102" i="7"/>
  <c r="E102" i="7"/>
  <c r="I98" i="7"/>
  <c r="H102" i="7"/>
  <c r="D102" i="7"/>
  <c r="I97" i="7"/>
  <c r="G102" i="7"/>
  <c r="I96" i="7"/>
  <c r="D111" i="7" l="1" a="1"/>
  <c r="D113" i="7" s="1"/>
  <c r="B130" i="7" a="1"/>
  <c r="B134" i="7" s="1"/>
  <c r="I102" i="7"/>
  <c r="D114" i="7" l="1"/>
  <c r="E114" i="7" s="1"/>
  <c r="H114" i="7" s="1"/>
  <c r="D112" i="7"/>
  <c r="E112" i="7" s="1"/>
  <c r="H112" i="7" s="1"/>
  <c r="D115" i="7"/>
  <c r="E115" i="7" s="1"/>
  <c r="H115" i="7" s="1"/>
  <c r="D111" i="7"/>
  <c r="E111" i="7" s="1"/>
  <c r="D116" i="7"/>
  <c r="E116" i="7" s="1"/>
  <c r="H116" i="7" s="1"/>
  <c r="B133" i="7"/>
  <c r="B131" i="7"/>
  <c r="B136" i="7"/>
  <c r="B137" i="7"/>
  <c r="B132" i="7"/>
  <c r="B130" i="7"/>
  <c r="B135" i="7"/>
  <c r="E113" i="7"/>
  <c r="H113" i="7" s="1"/>
  <c r="H111" i="7" l="1"/>
  <c r="G45" i="11" a="1"/>
  <c r="G164" i="7" a="1"/>
  <c r="D118" i="7"/>
  <c r="E118" i="7"/>
  <c r="G48" i="11" l="1"/>
  <c r="G45" i="11"/>
  <c r="G49" i="11"/>
  <c r="G50" i="11"/>
  <c r="G47" i="11"/>
  <c r="G46" i="11"/>
  <c r="G166" i="7"/>
  <c r="H166" i="7" s="1"/>
  <c r="G165" i="7"/>
  <c r="H165" i="7" s="1"/>
  <c r="G164" i="7"/>
  <c r="G169" i="7"/>
  <c r="H169" i="7" s="1"/>
  <c r="G168" i="7"/>
  <c r="H168" i="7" s="1"/>
  <c r="G167" i="7"/>
  <c r="H167" i="7" s="1"/>
  <c r="G52" i="11" l="1"/>
  <c r="F129" i="7" s="1" a="1"/>
  <c r="H164" i="7"/>
  <c r="M164" i="7" s="1"/>
  <c r="C184" i="7" s="1"/>
  <c r="L164" i="7"/>
  <c r="C130" i="7" a="1"/>
  <c r="E131" i="7" l="1"/>
  <c r="E133" i="7"/>
  <c r="C131" i="7"/>
  <c r="D135" i="7"/>
  <c r="E132" i="7"/>
  <c r="D132" i="7"/>
  <c r="D133" i="7"/>
  <c r="D130" i="7"/>
  <c r="E134" i="7"/>
  <c r="E130" i="7"/>
  <c r="C130" i="7"/>
  <c r="E135" i="7"/>
  <c r="C135" i="7"/>
  <c r="C133" i="7"/>
  <c r="C134" i="7"/>
  <c r="C132" i="7"/>
  <c r="D131" i="7"/>
  <c r="D134" i="7"/>
  <c r="F129" i="7"/>
  <c r="F132" i="7"/>
  <c r="F130" i="7"/>
  <c r="F134" i="7"/>
  <c r="F131" i="7"/>
  <c r="F135" i="7"/>
  <c r="F133" i="7"/>
  <c r="F136" i="7"/>
  <c r="F137" i="7"/>
  <c r="C137" i="7" l="1"/>
  <c r="E137" i="7"/>
  <c r="D137" i="7"/>
  <c r="D144" i="7" l="1" a="1"/>
  <c r="D145" i="7" s="1"/>
  <c r="E145" i="7" s="1"/>
  <c r="H145" i="7" s="1"/>
  <c r="D144" i="7" l="1"/>
  <c r="E144" i="7" s="1"/>
  <c r="D146" i="7"/>
  <c r="E146" i="7" s="1"/>
  <c r="H146" i="7" s="1"/>
  <c r="D147" i="7" l="1"/>
  <c r="G170" i="7" a="1"/>
  <c r="G170" i="7" s="1"/>
  <c r="E147" i="7"/>
  <c r="H144" i="7"/>
  <c r="G171" i="7" l="1"/>
  <c r="H171" i="7" s="1"/>
  <c r="G172" i="7"/>
  <c r="H172" i="7" s="1"/>
  <c r="H170" i="7"/>
  <c r="M170" i="7" l="1"/>
  <c r="C190" i="7" s="1"/>
  <c r="C193" i="7" s="1"/>
  <c r="L170" i="7"/>
  <c r="D176" i="7" l="1"/>
  <c r="D193" i="7" s="1"/>
  <c r="D183" i="7"/>
  <c r="D179" i="7"/>
  <c r="E183" i="7" l="1"/>
  <c r="E190" i="7"/>
  <c r="E179" i="7"/>
  <c r="E176" i="7"/>
  <c r="E193" i="7" s="1"/>
</calcChain>
</file>

<file path=xl/sharedStrings.xml><?xml version="1.0" encoding="utf-8"?>
<sst xmlns="http://schemas.openxmlformats.org/spreadsheetml/2006/main" count="208" uniqueCount="158">
  <si>
    <t>1.a. Colocación, mantenimiento y transporte de los contenedores</t>
  </si>
  <si>
    <t>CRR</t>
  </si>
  <si>
    <t>Personal</t>
  </si>
  <si>
    <t>Prestación</t>
  </si>
  <si>
    <t>Actividad</t>
  </si>
  <si>
    <t>Cost Driver</t>
  </si>
  <si>
    <t>Nivel de Actividad</t>
  </si>
  <si>
    <t>N0</t>
  </si>
  <si>
    <t>N1</t>
  </si>
  <si>
    <t>N2</t>
  </si>
  <si>
    <t>N3</t>
  </si>
  <si>
    <t>Total N1</t>
  </si>
  <si>
    <t>Total N3</t>
  </si>
  <si>
    <t>Tipo de residuo</t>
  </si>
  <si>
    <t>Tm/año</t>
  </si>
  <si>
    <t>Envases:</t>
  </si>
  <si>
    <t xml:space="preserve">Papel-cartón: </t>
  </si>
  <si>
    <t xml:space="preserve">Vidrio: </t>
  </si>
  <si>
    <t xml:space="preserve">Voluminosos y enseres: </t>
  </si>
  <si>
    <t xml:space="preserve">Total: </t>
  </si>
  <si>
    <t>Envases</t>
  </si>
  <si>
    <t>Pilas</t>
  </si>
  <si>
    <t>Contratas</t>
  </si>
  <si>
    <t>Combustibles, Seguros, Reparaciones mantenimientos  y similares</t>
  </si>
  <si>
    <t>Suma</t>
  </si>
  <si>
    <t>C1</t>
  </si>
  <si>
    <t>C2</t>
  </si>
  <si>
    <t>Total Consumo de recursos</t>
  </si>
  <si>
    <t xml:space="preserve">Recursos </t>
  </si>
  <si>
    <t>€</t>
  </si>
  <si>
    <t>Cap Presup</t>
  </si>
  <si>
    <t>4.b. Tratamiento de Envases</t>
  </si>
  <si>
    <t>4.c. Tratamiento de Vidrio</t>
  </si>
  <si>
    <t>4.d. Tratamiento de Papel Cartón</t>
  </si>
  <si>
    <t>5.a Transferencia de materiales recuperados para reutilización-Reciclaje</t>
  </si>
  <si>
    <t xml:space="preserve">                                                                                                                   Recursos
Actividades</t>
  </si>
  <si>
    <t>%</t>
  </si>
  <si>
    <t>Coste de traza</t>
  </si>
  <si>
    <t>Coste propio</t>
  </si>
  <si>
    <t>Coste acumulado</t>
  </si>
  <si>
    <t>Actividades N2</t>
  </si>
  <si>
    <t>Actividades N1</t>
  </si>
  <si>
    <t>Coste Acumulado N1</t>
  </si>
  <si>
    <t>Coste Actividades N2</t>
  </si>
  <si>
    <t>Coste Acumulado actividades N2</t>
  </si>
  <si>
    <t>Actividades N3</t>
  </si>
  <si>
    <t>Coste Actividades N3</t>
  </si>
  <si>
    <t>4.e. Tratamiento de Pilas</t>
  </si>
  <si>
    <t>Partida no presupuestaria</t>
  </si>
  <si>
    <t>amortizaciones</t>
  </si>
  <si>
    <t>Total Actividades N2</t>
  </si>
  <si>
    <t>Uds Cost Driver</t>
  </si>
  <si>
    <t>Tm RSD</t>
  </si>
  <si>
    <t>Tm Recogidas</t>
  </si>
  <si>
    <t>Tm Tratadas</t>
  </si>
  <si>
    <t>Tm Transferidas</t>
  </si>
  <si>
    <t>Kw transferidos</t>
  </si>
  <si>
    <t>Coste Unitario</t>
  </si>
  <si>
    <t>Coste Total actividad</t>
  </si>
  <si>
    <t>Coste Propio</t>
  </si>
  <si>
    <t>Coste acumulado Actividad</t>
  </si>
  <si>
    <t>Coste acumulado Prestación</t>
  </si>
  <si>
    <t>Coste Propio Prestación</t>
  </si>
  <si>
    <t>Coste de traza Prestación</t>
  </si>
  <si>
    <t>Cost Driver Prestación</t>
  </si>
  <si>
    <t>Varias Unidades</t>
  </si>
  <si>
    <t>Uds Cost Driver Prestación</t>
  </si>
  <si>
    <t>1.b. Fracción Orgánica+-restos. Recogida y Transporte a centros de tratamiento.</t>
  </si>
  <si>
    <t>1.c. Fracción Envases. Recogida y Transporte a centros de tratamiento.</t>
  </si>
  <si>
    <t>2. Recogida selectiva de aportación: vidrio, pilas y papel-cartón</t>
  </si>
  <si>
    <t xml:space="preserve">2.a. Recogida y transporte a centros de transferencia de papel y cartón </t>
  </si>
  <si>
    <t>2.b. Recogida y transporte  a centros de transferencia de vidrio</t>
  </si>
  <si>
    <t>2.c. Recogida y transporte  a centros de transferencia de pilas usadas.</t>
  </si>
  <si>
    <t>2.d. Recogida y transporte a centros de transferencia de papel-cartón, vidrio y pilas en punto limpio</t>
  </si>
  <si>
    <t>3. Recogida de voluminosos</t>
  </si>
  <si>
    <t>3.a. Recogida y transporte a centros de transferencia de muebles-enseres y vehículos fuera de uso</t>
  </si>
  <si>
    <t>4.Tratamiento de RSU</t>
  </si>
  <si>
    <t xml:space="preserve">4.a. Tratamiento de orgánicos +Resto </t>
  </si>
  <si>
    <t>4.f. Tratamiento de Voluminosos-Enseres- Vehículos</t>
  </si>
  <si>
    <t>5. Eliminación</t>
  </si>
  <si>
    <t>5.b. Transferencia de energía generada</t>
  </si>
  <si>
    <t>1. Recogida (RSD). Servicio diario de recogida selectiva domiciliaria de envases y orgánica + restos</t>
  </si>
  <si>
    <r>
      <t>5.c. Eliminación</t>
    </r>
    <r>
      <rPr>
        <sz val="11"/>
        <color rgb="FF000000"/>
        <rFont val="Calibri"/>
        <family val="2"/>
        <scheme val="minor"/>
      </rPr>
      <t>-Depósito en vertedero</t>
    </r>
  </si>
  <si>
    <t>Tabla 1. Actividades, prestaciones y Cost Drivers</t>
  </si>
  <si>
    <t>Tabla 2 traza de coste de actividades N1 a actividades N2</t>
  </si>
  <si>
    <t>Cose Acumulado N0</t>
  </si>
  <si>
    <t>*Coste Acumulado N0</t>
  </si>
  <si>
    <t>*Coste de Acmulado N2</t>
  </si>
  <si>
    <t>Tabla x traza de coste de actividades N0 a actividades N1**
* Los datos de esta columna son parte de la solución
**Esta tabla no figura en el enunciado, figura la descripción de su contenido.</t>
  </si>
  <si>
    <t>Tabla 3 Traza de coste de las actividades N2 a las actividades N3
* Los datos de esta columna son parte de la solución</t>
  </si>
  <si>
    <t xml:space="preserve">RSU Orgánicos-Resto </t>
  </si>
  <si>
    <t>Vidrio</t>
  </si>
  <si>
    <t>Papel Cartón</t>
  </si>
  <si>
    <t>Voluminosos-Enseres- Vehículos</t>
  </si>
  <si>
    <t>Tabla 5 Residuos recibidos en los centros de tratamiento-transferencia (Tm) 2014</t>
  </si>
  <si>
    <r>
      <t xml:space="preserve">                                                                                                                             </t>
    </r>
    <r>
      <rPr>
        <sz val="11"/>
        <color theme="0"/>
        <rFont val="Calibri"/>
        <family val="2"/>
        <scheme val="minor"/>
      </rPr>
      <t>-------------------------------------------------</t>
    </r>
    <r>
      <rPr>
        <sz val="11"/>
        <color theme="1"/>
        <rFont val="Calibri"/>
        <family val="2"/>
        <scheme val="minor"/>
      </rPr>
      <t>Recursos
Actividades</t>
    </r>
  </si>
  <si>
    <t>Apartado 1.a)</t>
  </si>
  <si>
    <t>Tabla Sol.01 Coste propios de las actividades delservicio de RSU</t>
  </si>
  <si>
    <t>Origen de datos</t>
  </si>
  <si>
    <t>Tabla Sol.02 Coste Propio Unitario de las actividades del servicio</t>
  </si>
  <si>
    <t>Apartado 1.b)</t>
  </si>
  <si>
    <t>Apartado 2)</t>
  </si>
  <si>
    <t>Enunciado Tabla 1
Solución Tabla Sol.01</t>
  </si>
  <si>
    <t>Tabla Sol.03 Coste de traza deactividades N0 a actividades N1</t>
  </si>
  <si>
    <t>Tabla Sol.04 Coste de traza y acumulado actividades N1</t>
  </si>
  <si>
    <t>Solución Tablas Sol.01, Sol.02 y Sol.03</t>
  </si>
  <si>
    <t>Total Costes traza</t>
  </si>
  <si>
    <t>Tabla Sol.05 Coste de traza y acumulado actividades N2</t>
  </si>
  <si>
    <t>Enunciado Tabla 2
Solución Tabla Sol.04</t>
  </si>
  <si>
    <t>Tabla Sol.06 Coste acumulado actividades N2</t>
  </si>
  <si>
    <t>Solución Tablas Sol.01, Sol.02 y Sol.05</t>
  </si>
  <si>
    <t>Apartado 3)</t>
  </si>
  <si>
    <t>Tabla Sol.07 Coste de traza de actividades N2 a Actividades N3</t>
  </si>
  <si>
    <t>Enunciado Tabla 3
Solución Tabla Sol.06</t>
  </si>
  <si>
    <t>Tabla Sol.08 Coste Acumulado Actividades N3</t>
  </si>
  <si>
    <t>Solución Tablas Sol.01, Sol.02 y Sol.07</t>
  </si>
  <si>
    <t>Apartado 4)</t>
  </si>
  <si>
    <t>Solución Tablas Sol.01, Sol.02,  Sol.06 y Sol.08</t>
  </si>
  <si>
    <t>Tabla Sol.09 Coste acumulado de las prestaciones del servicio de RSU</t>
  </si>
  <si>
    <t xml:space="preserve">Mixto Orgánicos+Resto: </t>
  </si>
  <si>
    <r>
      <t>Pilas:</t>
    </r>
    <r>
      <rPr>
        <strike/>
        <sz val="12"/>
        <color theme="0"/>
        <rFont val="Arial"/>
        <family val="2"/>
      </rPr>
      <t xml:space="preserve"> </t>
    </r>
  </si>
  <si>
    <t>Tabla 5 Asignación de recursos consumidos a las actividades</t>
  </si>
  <si>
    <t>Se pide:</t>
  </si>
  <si>
    <r>
      <t>1.</t>
    </r>
    <r>
      <rPr>
        <sz val="7"/>
        <color theme="1"/>
        <rFont val="Calibri"/>
        <family val="2"/>
        <scheme val="minor"/>
      </rPr>
      <t xml:space="preserve">     </t>
    </r>
    <r>
      <rPr>
        <sz val="12"/>
        <color theme="1"/>
        <rFont val="Calibri"/>
        <family val="2"/>
        <scheme val="minor"/>
      </rPr>
      <t xml:space="preserve">Calcular el </t>
    </r>
    <r>
      <rPr>
        <u/>
        <sz val="12"/>
        <color theme="1"/>
        <rFont val="Calibri"/>
        <family val="2"/>
        <scheme val="minor"/>
      </rPr>
      <t>coste propio</t>
    </r>
    <r>
      <rPr>
        <sz val="12"/>
        <color theme="1"/>
        <rFont val="Calibri"/>
        <family val="2"/>
        <scheme val="minor"/>
      </rPr>
      <t xml:space="preserve"> de cada una de las actividades para los niveles N0, N1, N2 y N3.</t>
    </r>
  </si>
  <si>
    <r>
      <t xml:space="preserve">    a.</t>
    </r>
    <r>
      <rPr>
        <sz val="7"/>
        <color theme="1"/>
        <rFont val="Calibri"/>
        <family val="2"/>
        <scheme val="minor"/>
      </rPr>
      <t xml:space="preserve">     </t>
    </r>
    <r>
      <rPr>
        <sz val="12"/>
        <color theme="1"/>
        <rFont val="Calibri"/>
        <family val="2"/>
        <scheme val="minor"/>
      </rPr>
      <t>En conjunto</t>
    </r>
  </si>
  <si>
    <r>
      <t xml:space="preserve">    b.</t>
    </r>
    <r>
      <rPr>
        <sz val="7"/>
        <color theme="1"/>
        <rFont val="Calibri"/>
        <family val="2"/>
        <scheme val="minor"/>
      </rPr>
      <t xml:space="preserve">     </t>
    </r>
    <r>
      <rPr>
        <sz val="12"/>
        <color theme="1"/>
        <rFont val="Calibri"/>
        <family val="2"/>
        <scheme val="minor"/>
      </rPr>
      <t>Por unidad de cost driver</t>
    </r>
  </si>
  <si>
    <r>
      <t>3.</t>
    </r>
    <r>
      <rPr>
        <sz val="7"/>
        <color theme="1"/>
        <rFont val="Calibri"/>
        <family val="2"/>
        <scheme val="minor"/>
      </rPr>
      <t xml:space="preserve">     </t>
    </r>
    <r>
      <rPr>
        <sz val="12"/>
        <color theme="1"/>
        <rFont val="Calibri"/>
        <family val="2"/>
        <scheme val="minor"/>
      </rPr>
      <t>Calcular el coste acumulado de las actividades en el nivel N2 en conjunto y por unidad de cost driver</t>
    </r>
  </si>
  <si>
    <r>
      <t>4.</t>
    </r>
    <r>
      <rPr>
        <sz val="7"/>
        <color theme="1"/>
        <rFont val="Calibri"/>
        <family val="2"/>
        <scheme val="minor"/>
      </rPr>
      <t xml:space="preserve">     </t>
    </r>
    <r>
      <rPr>
        <sz val="12"/>
        <color theme="1"/>
        <rFont val="Calibri"/>
        <family val="2"/>
        <scheme val="minor"/>
      </rPr>
      <t>Calcular el coste acumulado de las actividades en el nivel N3 en conjunto y por unidad de cost driver</t>
    </r>
  </si>
  <si>
    <r>
      <t xml:space="preserve">5. Valorar el </t>
    </r>
    <r>
      <rPr>
        <u/>
        <sz val="12"/>
        <color theme="1"/>
        <rFont val="Calibri"/>
        <family val="2"/>
        <scheme val="minor"/>
      </rPr>
      <t>coste acum</t>
    </r>
    <r>
      <rPr>
        <sz val="12"/>
        <color theme="1"/>
        <rFont val="Calibri"/>
        <family val="2"/>
        <scheme val="minor"/>
      </rPr>
      <t>ulado de todas las prestaciones descritas en el enunciado</t>
    </r>
  </si>
  <si>
    <r>
      <t>2.</t>
    </r>
    <r>
      <rPr>
        <sz val="7"/>
        <color theme="1"/>
        <rFont val="Calibri"/>
        <family val="2"/>
        <scheme val="minor"/>
      </rPr>
      <t xml:space="preserve">     </t>
    </r>
    <r>
      <rPr>
        <sz val="12"/>
        <color theme="1"/>
        <rFont val="Calibri"/>
        <family val="2"/>
        <scheme val="minor"/>
      </rPr>
      <t>Calcular el coste acumulado de las actividades en el nivel N1 en conjunto y por unidad de cost driver</t>
    </r>
  </si>
  <si>
    <t>Enunciado Tablas 4 y 5</t>
  </si>
  <si>
    <t>Enunciado Tablas 1 y X (descrito en el enunciado)
Solución Tabla Sol.02</t>
  </si>
  <si>
    <t>Coste acumulado prestación</t>
  </si>
  <si>
    <t>% Coste añadido por prestación</t>
  </si>
  <si>
    <t>% Coste acumulado Total</t>
  </si>
  <si>
    <t>Coste total servicio RSU</t>
  </si>
  <si>
    <t>Apartado 5)</t>
  </si>
  <si>
    <t>Tabla 4 Consumo de recursos económicos 2014</t>
  </si>
  <si>
    <t>Enunciado</t>
  </si>
  <si>
    <t>Tabla 1</t>
  </si>
  <si>
    <t>Tabla 2</t>
  </si>
  <si>
    <t>Tabla 3</t>
  </si>
  <si>
    <t>Tabla 4</t>
  </si>
  <si>
    <t>Tabla 5</t>
  </si>
  <si>
    <t>Tabla 3 Traza de coste de las actividades N2 a las actividades N3</t>
  </si>
  <si>
    <t>Se pide</t>
  </si>
  <si>
    <t>Solución</t>
  </si>
  <si>
    <t>Tabla Sol.01</t>
  </si>
  <si>
    <t>Tabla Sol.02</t>
  </si>
  <si>
    <t>Tabla Sol.03</t>
  </si>
  <si>
    <t>Tabla Sol.04</t>
  </si>
  <si>
    <t>Tabla Sol.05</t>
  </si>
  <si>
    <t>Tabla Sol.06</t>
  </si>
  <si>
    <t>Tabla Sol.07</t>
  </si>
  <si>
    <t>Tabla Sol.08</t>
  </si>
  <si>
    <t>Tabla Sol.09</t>
  </si>
  <si>
    <t>1.a)</t>
  </si>
  <si>
    <t>1.b)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</si>
</sst>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_ ;[Red]\-#,##0.0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trike/>
      <sz val="12"/>
      <color theme="0"/>
      <name val="Arial"/>
      <family val="2"/>
    </font>
    <font>
      <sz val="12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99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64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1" xfId="0" applyBorder="1" applyAlignment="1">
      <alignment wrapText="1"/>
    </xf>
    <xf numFmtId="0" fontId="0" fillId="0" borderId="1" xfId="0" applyFill="1" applyBorder="1" applyAlignment="1">
      <alignment wrapText="1"/>
    </xf>
    <xf numFmtId="164" fontId="0" fillId="0" borderId="1" xfId="0" applyNumberFormat="1" applyBorder="1"/>
    <xf numFmtId="0" fontId="0" fillId="2" borderId="0" xfId="0" applyFill="1"/>
    <xf numFmtId="0" fontId="0" fillId="2" borderId="1" xfId="0" applyFill="1" applyBorder="1" applyAlignment="1">
      <alignment textRotation="90" wrapText="1"/>
    </xf>
    <xf numFmtId="0" fontId="0" fillId="2" borderId="1" xfId="0" applyFill="1" applyBorder="1" applyAlignment="1">
      <alignment wrapText="1"/>
    </xf>
    <xf numFmtId="9" fontId="0" fillId="2" borderId="1" xfId="0" applyNumberFormat="1" applyFill="1" applyBorder="1" applyAlignment="1">
      <alignment wrapText="1"/>
    </xf>
    <xf numFmtId="0" fontId="0" fillId="0" borderId="1" xfId="0" applyBorder="1" applyAlignment="1">
      <alignment horizontal="center" vertical="center"/>
    </xf>
    <xf numFmtId="164" fontId="0" fillId="0" borderId="0" xfId="0" applyNumberFormat="1"/>
    <xf numFmtId="164" fontId="2" fillId="0" borderId="1" xfId="0" applyNumberFormat="1" applyFont="1" applyBorder="1"/>
    <xf numFmtId="0" fontId="2" fillId="0" borderId="1" xfId="0" applyFont="1" applyBorder="1"/>
    <xf numFmtId="0" fontId="0" fillId="0" borderId="0" xfId="0" applyFill="1" applyBorder="1" applyAlignment="1">
      <alignment wrapText="1"/>
    </xf>
    <xf numFmtId="0" fontId="0" fillId="0" borderId="5" xfId="0" applyFill="1" applyBorder="1" applyAlignment="1">
      <alignment wrapText="1"/>
    </xf>
    <xf numFmtId="0" fontId="0" fillId="0" borderId="9" xfId="0" applyBorder="1" applyAlignment="1">
      <alignment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/>
    <xf numFmtId="10" fontId="0" fillId="2" borderId="1" xfId="1" applyNumberFormat="1" applyFont="1" applyFill="1" applyBorder="1"/>
    <xf numFmtId="0" fontId="0" fillId="2" borderId="0" xfId="0" applyFill="1" applyBorder="1"/>
    <xf numFmtId="164" fontId="2" fillId="2" borderId="1" xfId="0" applyNumberFormat="1" applyFont="1" applyFill="1" applyBorder="1"/>
    <xf numFmtId="10" fontId="2" fillId="2" borderId="1" xfId="1" applyNumberFormat="1" applyFont="1" applyFill="1" applyBorder="1"/>
    <xf numFmtId="164" fontId="0" fillId="0" borderId="1" xfId="1" applyNumberFormat="1" applyFont="1" applyBorder="1"/>
    <xf numFmtId="164" fontId="2" fillId="0" borderId="1" xfId="1" applyNumberFormat="1" applyFont="1" applyBorder="1"/>
    <xf numFmtId="164" fontId="0" fillId="0" borderId="1" xfId="1" applyNumberFormat="1" applyFon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2" fillId="2" borderId="1" xfId="0" applyFont="1" applyFill="1" applyBorder="1" applyAlignment="1">
      <alignment textRotation="90" wrapText="1"/>
    </xf>
    <xf numFmtId="164" fontId="0" fillId="2" borderId="1" xfId="0" applyNumberFormat="1" applyFill="1" applyBorder="1" applyAlignment="1">
      <alignment wrapText="1"/>
    </xf>
    <xf numFmtId="164" fontId="2" fillId="2" borderId="1" xfId="0" applyNumberFormat="1" applyFont="1" applyFill="1" applyBorder="1" applyAlignment="1">
      <alignment wrapText="1"/>
    </xf>
    <xf numFmtId="164" fontId="2" fillId="0" borderId="1" xfId="0" applyNumberFormat="1" applyFont="1" applyBorder="1" applyAlignment="1">
      <alignment horizontal="right"/>
    </xf>
    <xf numFmtId="0" fontId="0" fillId="2" borderId="2" xfId="0" applyFill="1" applyBorder="1" applyAlignment="1">
      <alignment wrapText="1"/>
    </xf>
    <xf numFmtId="9" fontId="0" fillId="2" borderId="6" xfId="0" applyNumberForma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0" fillId="2" borderId="4" xfId="0" applyFill="1" applyBorder="1" applyAlignment="1">
      <alignment wrapText="1"/>
    </xf>
    <xf numFmtId="0" fontId="0" fillId="2" borderId="7" xfId="0" applyFill="1" applyBorder="1" applyAlignment="1">
      <alignment wrapText="1"/>
    </xf>
    <xf numFmtId="164" fontId="2" fillId="0" borderId="7" xfId="0" applyNumberFormat="1" applyFont="1" applyBorder="1" applyAlignment="1">
      <alignment horizontal="right"/>
    </xf>
    <xf numFmtId="164" fontId="2" fillId="0" borderId="0" xfId="1" applyNumberFormat="1" applyFont="1" applyFill="1" applyBorder="1"/>
    <xf numFmtId="0" fontId="0" fillId="0" borderId="8" xfId="0" applyBorder="1" applyAlignment="1"/>
    <xf numFmtId="10" fontId="0" fillId="0" borderId="1" xfId="0" applyNumberFormat="1" applyBorder="1"/>
    <xf numFmtId="0" fontId="0" fillId="0" borderId="1" xfId="0" applyBorder="1" applyAlignment="1"/>
    <xf numFmtId="0" fontId="0" fillId="0" borderId="0" xfId="0" applyBorder="1" applyAlignment="1">
      <alignment vertical="center"/>
    </xf>
    <xf numFmtId="0" fontId="2" fillId="2" borderId="2" xfId="0" applyFont="1" applyFill="1" applyBorder="1"/>
    <xf numFmtId="0" fontId="0" fillId="2" borderId="0" xfId="0" applyFill="1" applyBorder="1" applyAlignment="1">
      <alignment horizontal="center" wrapText="1"/>
    </xf>
    <xf numFmtId="164" fontId="0" fillId="0" borderId="1" xfId="0" applyNumberFormat="1" applyBorder="1" applyAlignment="1">
      <alignment wrapText="1"/>
    </xf>
    <xf numFmtId="0" fontId="0" fillId="0" borderId="1" xfId="0" applyFill="1" applyBorder="1" applyAlignment="1">
      <alignment textRotation="90"/>
    </xf>
    <xf numFmtId="164" fontId="0" fillId="0" borderId="1" xfId="0" applyNumberFormat="1" applyBorder="1" applyAlignment="1">
      <alignment horizontal="right" wrapText="1"/>
    </xf>
    <xf numFmtId="0" fontId="0" fillId="0" borderId="1" xfId="0" applyBorder="1" applyAlignment="1">
      <alignment horizontal="center"/>
    </xf>
    <xf numFmtId="0" fontId="5" fillId="0" borderId="0" xfId="0" applyFont="1" applyFill="1" applyBorder="1" applyAlignment="1">
      <alignment textRotation="90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textRotation="90" wrapText="1"/>
    </xf>
    <xf numFmtId="0" fontId="2" fillId="2" borderId="1" xfId="0" applyFont="1" applyFill="1" applyBorder="1" applyAlignment="1">
      <alignment horizontal="center" textRotation="90" wrapText="1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0" fontId="2" fillId="0" borderId="1" xfId="1" applyNumberFormat="1" applyFont="1" applyBorder="1" applyAlignment="1">
      <alignment vertical="center"/>
    </xf>
    <xf numFmtId="0" fontId="2" fillId="4" borderId="0" xfId="0" applyFont="1" applyFill="1"/>
    <xf numFmtId="0" fontId="2" fillId="4" borderId="0" xfId="0" applyFont="1" applyFill="1" applyAlignment="1">
      <alignment wrapText="1"/>
    </xf>
    <xf numFmtId="164" fontId="0" fillId="0" borderId="1" xfId="1" applyNumberFormat="1" applyFont="1" applyFill="1" applyBorder="1"/>
    <xf numFmtId="0" fontId="0" fillId="0" borderId="2" xfId="0" applyBorder="1" applyAlignment="1"/>
    <xf numFmtId="0" fontId="0" fillId="0" borderId="4" xfId="0" applyBorder="1" applyAlignment="1"/>
    <xf numFmtId="0" fontId="0" fillId="0" borderId="7" xfId="0" applyBorder="1" applyAlignment="1"/>
    <xf numFmtId="164" fontId="1" fillId="0" borderId="1" xfId="1" applyNumberFormat="1" applyFont="1" applyBorder="1"/>
    <xf numFmtId="0" fontId="0" fillId="0" borderId="0" xfId="0" applyBorder="1" applyAlignment="1">
      <alignment horizontal="center"/>
    </xf>
    <xf numFmtId="0" fontId="5" fillId="2" borderId="1" xfId="0" applyFont="1" applyFill="1" applyBorder="1" applyAlignment="1">
      <alignment wrapText="1"/>
    </xf>
    <xf numFmtId="164" fontId="5" fillId="2" borderId="1" xfId="0" applyNumberFormat="1" applyFont="1" applyFill="1" applyBorder="1" applyAlignment="1">
      <alignment wrapText="1"/>
    </xf>
    <xf numFmtId="164" fontId="6" fillId="2" borderId="1" xfId="0" applyNumberFormat="1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0" fontId="2" fillId="0" borderId="0" xfId="0" applyFont="1" applyFill="1"/>
    <xf numFmtId="0" fontId="0" fillId="0" borderId="6" xfId="0" applyBorder="1"/>
    <xf numFmtId="0" fontId="0" fillId="0" borderId="17" xfId="0" applyBorder="1"/>
    <xf numFmtId="164" fontId="0" fillId="0" borderId="18" xfId="0" applyNumberFormat="1" applyBorder="1" applyAlignment="1">
      <alignment horizontal="center" vertical="center"/>
    </xf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3" fontId="8" fillId="0" borderId="0" xfId="0" applyNumberFormat="1" applyFont="1" applyBorder="1" applyAlignment="1">
      <alignment horizontal="right" vertical="center" wrapText="1"/>
    </xf>
    <xf numFmtId="164" fontId="8" fillId="0" borderId="0" xfId="0" applyNumberFormat="1" applyFont="1" applyBorder="1" applyAlignment="1">
      <alignment horizontal="right" vertical="center" wrapText="1"/>
    </xf>
    <xf numFmtId="0" fontId="8" fillId="0" borderId="0" xfId="0" applyFont="1" applyBorder="1" applyAlignment="1">
      <alignment horizontal="right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right" vertical="center" wrapText="1"/>
    </xf>
    <xf numFmtId="0" fontId="5" fillId="0" borderId="0" xfId="0" applyFont="1"/>
    <xf numFmtId="164" fontId="0" fillId="0" borderId="1" xfId="0" applyNumberFormat="1" applyBorder="1" applyAlignment="1" applyProtection="1">
      <alignment wrapText="1"/>
      <protection locked="0"/>
    </xf>
    <xf numFmtId="10" fontId="0" fillId="0" borderId="1" xfId="0" applyNumberFormat="1" applyBorder="1" applyProtection="1">
      <protection locked="0"/>
    </xf>
    <xf numFmtId="9" fontId="0" fillId="2" borderId="1" xfId="0" applyNumberForma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9" fontId="0" fillId="2" borderId="6" xfId="0" applyNumberFormat="1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4" fontId="3" fillId="0" borderId="1" xfId="0" applyNumberFormat="1" applyFont="1" applyBorder="1" applyAlignment="1" applyProtection="1">
      <alignment horizontal="right" vertical="center" wrapText="1"/>
      <protection locked="0"/>
    </xf>
    <xf numFmtId="0" fontId="3" fillId="0" borderId="1" xfId="0" applyFont="1" applyBorder="1" applyAlignment="1" applyProtection="1">
      <alignment horizontal="right" vertical="center" wrapText="1"/>
      <protection locked="0"/>
    </xf>
    <xf numFmtId="10" fontId="0" fillId="0" borderId="1" xfId="1" applyNumberFormat="1" applyFont="1" applyBorder="1" applyAlignment="1" applyProtection="1">
      <alignment vertical="center"/>
      <protection locked="0"/>
    </xf>
    <xf numFmtId="10" fontId="0" fillId="0" borderId="1" xfId="1" applyNumberFormat="1" applyFont="1" applyFill="1" applyBorder="1" applyAlignment="1" applyProtection="1">
      <alignment vertical="center"/>
      <protection locked="0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10" fontId="0" fillId="0" borderId="18" xfId="1" applyNumberFormat="1" applyFont="1" applyBorder="1" applyAlignment="1">
      <alignment horizontal="center" vertical="center"/>
    </xf>
    <xf numFmtId="0" fontId="0" fillId="0" borderId="0" xfId="0" applyAlignment="1"/>
    <xf numFmtId="0" fontId="2" fillId="0" borderId="22" xfId="0" applyFont="1" applyBorder="1"/>
    <xf numFmtId="164" fontId="2" fillId="0" borderId="22" xfId="0" applyNumberFormat="1" applyFont="1" applyBorder="1"/>
    <xf numFmtId="9" fontId="2" fillId="0" borderId="22" xfId="1" applyFont="1" applyBorder="1" applyAlignment="1">
      <alignment horizontal="center"/>
    </xf>
    <xf numFmtId="0" fontId="3" fillId="0" borderId="0" xfId="0" applyFont="1"/>
    <xf numFmtId="0" fontId="14" fillId="0" borderId="0" xfId="4"/>
    <xf numFmtId="0" fontId="6" fillId="3" borderId="0" xfId="0" applyFont="1" applyFill="1" applyAlignment="1">
      <alignment horizontal="center"/>
    </xf>
    <xf numFmtId="0" fontId="10" fillId="0" borderId="26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left" vertical="center" wrapText="1"/>
    </xf>
    <xf numFmtId="0" fontId="13" fillId="3" borderId="23" xfId="0" applyFont="1" applyFill="1" applyBorder="1" applyAlignment="1">
      <alignment horizontal="left" vertical="center" wrapText="1"/>
    </xf>
    <xf numFmtId="0" fontId="13" fillId="3" borderId="24" xfId="0" applyFont="1" applyFill="1" applyBorder="1" applyAlignment="1">
      <alignment horizontal="left" vertical="center" wrapText="1"/>
    </xf>
    <xf numFmtId="0" fontId="13" fillId="3" borderId="25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3" xfId="0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24" xfId="0" applyBorder="1" applyAlignment="1">
      <alignment horizontal="center"/>
    </xf>
    <xf numFmtId="10" fontId="0" fillId="0" borderId="13" xfId="1" applyNumberFormat="1" applyFont="1" applyBorder="1" applyAlignment="1">
      <alignment horizontal="center" vertical="center" wrapText="1"/>
    </xf>
    <xf numFmtId="10" fontId="0" fillId="0" borderId="5" xfId="1" applyNumberFormat="1" applyFont="1" applyBorder="1" applyAlignment="1">
      <alignment horizontal="center" vertical="center" wrapText="1"/>
    </xf>
    <xf numFmtId="10" fontId="0" fillId="0" borderId="16" xfId="1" applyNumberFormat="1" applyFont="1" applyBorder="1" applyAlignment="1">
      <alignment horizontal="center" vertical="center" wrapText="1"/>
    </xf>
    <xf numFmtId="10" fontId="0" fillId="0" borderId="13" xfId="1" applyNumberFormat="1" applyFont="1" applyBorder="1" applyAlignment="1">
      <alignment horizontal="center" vertical="center"/>
    </xf>
    <xf numFmtId="10" fontId="0" fillId="0" borderId="5" xfId="1" applyNumberFormat="1" applyFont="1" applyBorder="1" applyAlignment="1">
      <alignment horizontal="center" vertical="center"/>
    </xf>
    <xf numFmtId="10" fontId="0" fillId="0" borderId="16" xfId="1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0" fillId="0" borderId="2" xfId="1" applyNumberFormat="1" applyFont="1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164" fontId="0" fillId="0" borderId="7" xfId="1" applyNumberFormat="1" applyFont="1" applyBorder="1" applyAlignment="1">
      <alignment horizontal="center"/>
    </xf>
  </cellXfs>
  <cellStyles count="5">
    <cellStyle name="Euro" xfId="3"/>
    <cellStyle name="Hipervínculo" xfId="4" builtinId="8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37</xdr:row>
      <xdr:rowOff>61912</xdr:rowOff>
    </xdr:from>
    <xdr:to>
      <xdr:col>8</xdr:col>
      <xdr:colOff>676275</xdr:colOff>
      <xdr:row>39</xdr:row>
      <xdr:rowOff>0</xdr:rowOff>
    </xdr:to>
    <xdr:sp macro="" textlink="">
      <xdr:nvSpPr>
        <xdr:cNvPr id="2" name="1 Flecha derecha"/>
        <xdr:cNvSpPr/>
      </xdr:nvSpPr>
      <xdr:spPr>
        <a:xfrm>
          <a:off x="7924800" y="45658087"/>
          <a:ext cx="4648200" cy="319088"/>
        </a:xfrm>
        <a:prstGeom prst="rightArrow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100">
              <a:solidFill>
                <a:schemeClr val="tx1"/>
              </a:solidFill>
            </a:rPr>
            <a:t>Acumulación de costes</a:t>
          </a:r>
        </a:p>
      </xdr:txBody>
    </xdr:sp>
    <xdr:clientData/>
  </xdr:twoCellAnchor>
  <xdr:twoCellAnchor>
    <xdr:from>
      <xdr:col>3</xdr:col>
      <xdr:colOff>314325</xdr:colOff>
      <xdr:row>37</xdr:row>
      <xdr:rowOff>61912</xdr:rowOff>
    </xdr:from>
    <xdr:to>
      <xdr:col>8</xdr:col>
      <xdr:colOff>676275</xdr:colOff>
      <xdr:row>39</xdr:row>
      <xdr:rowOff>0</xdr:rowOff>
    </xdr:to>
    <xdr:sp macro="" textlink="">
      <xdr:nvSpPr>
        <xdr:cNvPr id="3" name="2 Flecha derecha"/>
        <xdr:cNvSpPr/>
      </xdr:nvSpPr>
      <xdr:spPr>
        <a:xfrm>
          <a:off x="7924800" y="43676887"/>
          <a:ext cx="4648200" cy="319088"/>
        </a:xfrm>
        <a:prstGeom prst="rightArrow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100">
              <a:solidFill>
                <a:schemeClr val="tx1"/>
              </a:solidFill>
            </a:rPr>
            <a:t>Acumulación de costes</a:t>
          </a:r>
        </a:p>
      </xdr:txBody>
    </xdr:sp>
    <xdr:clientData/>
  </xdr:twoCellAnchor>
  <xdr:twoCellAnchor>
    <xdr:from>
      <xdr:col>4</xdr:col>
      <xdr:colOff>566736</xdr:colOff>
      <xdr:row>23</xdr:row>
      <xdr:rowOff>133350</xdr:rowOff>
    </xdr:from>
    <xdr:to>
      <xdr:col>11</xdr:col>
      <xdr:colOff>228600</xdr:colOff>
      <xdr:row>26</xdr:row>
      <xdr:rowOff>85725</xdr:rowOff>
    </xdr:to>
    <xdr:sp macro="" textlink="">
      <xdr:nvSpPr>
        <xdr:cNvPr id="4" name="3 Flecha derecha"/>
        <xdr:cNvSpPr/>
      </xdr:nvSpPr>
      <xdr:spPr>
        <a:xfrm>
          <a:off x="7472361" y="8924925"/>
          <a:ext cx="5091114" cy="523875"/>
        </a:xfrm>
        <a:prstGeom prst="rightArrow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ES" sz="1100">
              <a:solidFill>
                <a:schemeClr val="tx1"/>
              </a:solidFill>
            </a:rPr>
            <a:t>Acumulación de costes</a:t>
          </a:r>
        </a:p>
      </xdr:txBody>
    </xdr:sp>
    <xdr:clientData/>
  </xdr:twoCellAnchor>
  <xdr:twoCellAnchor>
    <xdr:from>
      <xdr:col>2</xdr:col>
      <xdr:colOff>523875</xdr:colOff>
      <xdr:row>50</xdr:row>
      <xdr:rowOff>133351</xdr:rowOff>
    </xdr:from>
    <xdr:to>
      <xdr:col>5</xdr:col>
      <xdr:colOff>47625</xdr:colOff>
      <xdr:row>52</xdr:row>
      <xdr:rowOff>171451</xdr:rowOff>
    </xdr:to>
    <xdr:sp macro="" textlink="">
      <xdr:nvSpPr>
        <xdr:cNvPr id="5" name="4 Flecha derecha"/>
        <xdr:cNvSpPr/>
      </xdr:nvSpPr>
      <xdr:spPr>
        <a:xfrm>
          <a:off x="8134350" y="55940326"/>
          <a:ext cx="2200275" cy="419100"/>
        </a:xfrm>
        <a:prstGeom prst="rightArrow">
          <a:avLst>
            <a:gd name="adj1" fmla="val 50000"/>
            <a:gd name="adj2" fmla="val 43043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es-ES" sz="1100">
              <a:solidFill>
                <a:schemeClr val="tx1"/>
              </a:solidFill>
            </a:rPr>
            <a:t>Acumulación de costes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ESIDUOS%20MAdrid%202004%20-%202007%20version%2018-08-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isa\Escritorio\Tesis%20Julian\caso%20pr&#225;ctico\coste%20recogidas%20y%20tratamientos%20%20presupuesto%20ejecutado%202007%20-%202009-02-18%2008-4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TAMIENTOS julian (2)"/>
      <sheetName val="TRATAMIENTOS julian recogidas"/>
      <sheetName val="Cálculo Costes"/>
      <sheetName val="TRATAMIENTOS julian"/>
      <sheetName val="megagrafico (2)"/>
      <sheetName val="Hoja1"/>
      <sheetName val="Hoja2"/>
      <sheetName val="megagrafico"/>
      <sheetName val="RESIDUOSVOLUMEN"/>
      <sheetName val="TRATAMIENTOS"/>
      <sheetName val="TRATAMIENTOS DEHESAS"/>
      <sheetName val="Hoja3"/>
    </sheetNames>
    <sheetDataSet>
      <sheetData sheetId="0" refreshError="1"/>
      <sheetData sheetId="1" refreshError="1"/>
      <sheetData sheetId="2" refreshError="1">
        <row r="3">
          <cell r="B3" t="str">
            <v>PRESTACIÓN</v>
          </cell>
          <cell r="C3" t="str">
            <v>Elementos de coste</v>
          </cell>
          <cell r="K3" t="str">
            <v>COSTES INDIRECTOS</v>
          </cell>
          <cell r="M3" t="str">
            <v>Nº SERVICIOS</v>
          </cell>
          <cell r="P3" t="str">
            <v>COSTE SERVICIO</v>
          </cell>
        </row>
        <row r="4">
          <cell r="C4" t="str">
            <v>PERSONAL</v>
          </cell>
          <cell r="E4" t="str">
            <v>CONTRATAS/CONVENIOS</v>
          </cell>
          <cell r="G4" t="str">
            <v>ALQUILER</v>
          </cell>
          <cell r="H4" t="str">
            <v>RENTING</v>
          </cell>
          <cell r="I4" t="str">
            <v>AMORTIZAC.</v>
          </cell>
          <cell r="J4" t="str">
            <v>OTROS</v>
          </cell>
          <cell r="K4" t="str">
            <v>PERSONAL</v>
          </cell>
        </row>
        <row r="6">
          <cell r="A6" t="str">
            <v>PRE</v>
          </cell>
          <cell r="B6" t="str">
            <v>PRE-RECOGIDA</v>
          </cell>
          <cell r="C6">
            <v>713000</v>
          </cell>
          <cell r="E6">
            <v>9599788</v>
          </cell>
          <cell r="G6" t="str">
            <v>600*nf</v>
          </cell>
          <cell r="H6">
            <v>52000</v>
          </cell>
          <cell r="K6">
            <v>88000</v>
          </cell>
          <cell r="P6">
            <v>10452788</v>
          </cell>
        </row>
        <row r="7">
          <cell r="A7" t="str">
            <v>RSD</v>
          </cell>
          <cell r="B7" t="str">
            <v>RECOGIDA SELECTIVA DOMICILIARIA</v>
          </cell>
          <cell r="C7">
            <v>1276000</v>
          </cell>
          <cell r="E7">
            <v>116718394</v>
          </cell>
          <cell r="G7" t="str">
            <v>1000*nd</v>
          </cell>
          <cell r="H7">
            <v>72000</v>
          </cell>
          <cell r="K7">
            <v>124600</v>
          </cell>
          <cell r="P7">
            <v>118190994</v>
          </cell>
        </row>
        <row r="8">
          <cell r="A8" t="str">
            <v>RSA</v>
          </cell>
          <cell r="B8" t="str">
            <v>RECOGIDA SELECTIVA DE APORTACIÓN</v>
          </cell>
          <cell r="C8">
            <v>530000</v>
          </cell>
          <cell r="E8">
            <v>6528000</v>
          </cell>
          <cell r="G8" t="str">
            <v>500*nd</v>
          </cell>
          <cell r="H8">
            <v>40000</v>
          </cell>
          <cell r="K8">
            <v>105600</v>
          </cell>
          <cell r="P8">
            <v>7203600</v>
          </cell>
        </row>
        <row r="9">
          <cell r="A9" t="str">
            <v>ORM</v>
          </cell>
          <cell r="B9" t="str">
            <v>OTRAS RECOGIDAS MUNICIPALES</v>
          </cell>
          <cell r="C9">
            <v>121500</v>
          </cell>
          <cell r="G9" t="str">
            <v>50*nd</v>
          </cell>
          <cell r="H9">
            <v>4000</v>
          </cell>
          <cell r="K9">
            <v>201100</v>
          </cell>
          <cell r="P9">
            <v>326600</v>
          </cell>
        </row>
        <row r="10">
          <cell r="A10" t="str">
            <v>CRR</v>
          </cell>
          <cell r="B10" t="str">
            <v>PUNTOS LIMPIOS</v>
          </cell>
          <cell r="C10">
            <v>857500</v>
          </cell>
          <cell r="G10" t="str">
            <v>50*nd</v>
          </cell>
          <cell r="H10">
            <v>4000</v>
          </cell>
          <cell r="K10">
            <v>72700</v>
          </cell>
          <cell r="P10">
            <v>934200</v>
          </cell>
        </row>
        <row r="11">
          <cell r="B11" t="str">
            <v>PUNTOS LIMPIOS MÓVILES</v>
          </cell>
          <cell r="G11" t="str">
            <v>Dato sin valorar</v>
          </cell>
          <cell r="P11">
            <v>600000</v>
          </cell>
        </row>
        <row r="12">
          <cell r="P12">
            <v>0</v>
          </cell>
        </row>
        <row r="13">
          <cell r="B13" t="str">
            <v xml:space="preserve"> - Traslado a plantas de tratamiento específico fuera del municipio</v>
          </cell>
          <cell r="P13">
            <v>0</v>
          </cell>
        </row>
        <row r="14">
          <cell r="P14">
            <v>0</v>
          </cell>
        </row>
        <row r="15">
          <cell r="P15">
            <v>0</v>
          </cell>
        </row>
        <row r="38">
          <cell r="C38" t="str">
            <v>Dehesas</v>
          </cell>
          <cell r="E38" t="str">
            <v>Paloma</v>
          </cell>
          <cell r="G38" t="str">
            <v>Lomas</v>
          </cell>
          <cell r="H38" t="str">
            <v>Galiana</v>
          </cell>
          <cell r="I38" t="str">
            <v>TODOS</v>
          </cell>
          <cell r="J38" t="str">
            <v>ok</v>
          </cell>
          <cell r="K38" t="str">
            <v>suma fila</v>
          </cell>
        </row>
        <row r="39">
          <cell r="B39" t="str">
            <v>Animales</v>
          </cell>
          <cell r="C39">
            <v>235239.40011856001</v>
          </cell>
          <cell r="E39" t="str">
            <v>no hay</v>
          </cell>
          <cell r="G39" t="str">
            <v>no hay</v>
          </cell>
          <cell r="J39" t="str">
            <v>x</v>
          </cell>
          <cell r="K39">
            <v>235239.40011856001</v>
          </cell>
        </row>
        <row r="40">
          <cell r="B40" t="str">
            <v>Compostaje</v>
          </cell>
          <cell r="C40">
            <v>691926.12236436002</v>
          </cell>
          <cell r="E40" t="str">
            <v>81814,11*nd</v>
          </cell>
          <cell r="G40" t="str">
            <v>nd</v>
          </cell>
          <cell r="J40" t="str">
            <v>x</v>
          </cell>
          <cell r="K40">
            <v>691926.12236436002</v>
          </cell>
        </row>
        <row r="41">
          <cell r="B41" t="str">
            <v>Depósito final (rechazos)</v>
          </cell>
          <cell r="C41">
            <v>1325401.3592888</v>
          </cell>
          <cell r="E41" t="str">
            <v>=(170432,48*nd)</v>
          </cell>
          <cell r="G41">
            <v>691420.67490869993</v>
          </cell>
          <cell r="K41">
            <v>2016822.0341975</v>
          </cell>
        </row>
        <row r="42">
          <cell r="B42" t="str">
            <v>Envases</v>
          </cell>
          <cell r="C42">
            <v>2753311.84144272</v>
          </cell>
          <cell r="E42">
            <v>3116225.6</v>
          </cell>
          <cell r="J42" t="str">
            <v>x</v>
          </cell>
          <cell r="K42">
            <v>5869537.4414427206</v>
          </cell>
        </row>
        <row r="43">
          <cell r="B43" t="str">
            <v>Incineración: carbón activo</v>
          </cell>
          <cell r="G43">
            <v>2201.7064058999999</v>
          </cell>
          <cell r="J43" t="str">
            <v>x</v>
          </cell>
          <cell r="K43">
            <v>2201.7064058999999</v>
          </cell>
        </row>
        <row r="44">
          <cell r="B44" t="str">
            <v>Incineración: trat integral</v>
          </cell>
          <cell r="G44">
            <v>13928.784935820002</v>
          </cell>
          <cell r="J44" t="str">
            <v>x</v>
          </cell>
          <cell r="K44">
            <v>13928.784935820002</v>
          </cell>
        </row>
        <row r="45">
          <cell r="B45" t="str">
            <v>Plasticos</v>
          </cell>
          <cell r="J45" t="str">
            <v>x</v>
          </cell>
          <cell r="K45">
            <v>0</v>
          </cell>
        </row>
        <row r="46">
          <cell r="B46" t="str">
            <v>Restos</v>
          </cell>
          <cell r="C46">
            <v>1599493.8014454001</v>
          </cell>
          <cell r="E46">
            <v>4403482.4000000004</v>
          </cell>
          <cell r="G46" t="str">
            <v>234644,28*nd</v>
          </cell>
          <cell r="J46" t="str">
            <v>x</v>
          </cell>
          <cell r="K46">
            <v>6002976.2014454007</v>
          </cell>
        </row>
        <row r="47">
          <cell r="B47" t="str">
            <v>Transferencia de vidrios</v>
          </cell>
          <cell r="C47">
            <v>1923.0477369599998</v>
          </cell>
          <cell r="E47" t="str">
            <v>=(424* nd)</v>
          </cell>
          <cell r="G47" t="str">
            <v>=(84,7*nd)</v>
          </cell>
          <cell r="J47" t="str">
            <v>x</v>
          </cell>
          <cell r="K47">
            <v>1923.0477369599998</v>
          </cell>
        </row>
        <row r="48">
          <cell r="B48" t="str">
            <v>Voluminosos</v>
          </cell>
          <cell r="C48">
            <v>18863.507440000001</v>
          </cell>
          <cell r="E48" t="str">
            <v>no hay</v>
          </cell>
          <cell r="G48" t="str">
            <v>no hay</v>
          </cell>
          <cell r="J48" t="str">
            <v>x</v>
          </cell>
          <cell r="K48">
            <v>18863.507440000001</v>
          </cell>
        </row>
        <row r="49">
          <cell r="B49" t="str">
            <v>AMORTIZAC.</v>
          </cell>
          <cell r="C49">
            <v>6095976.2199999997</v>
          </cell>
          <cell r="E49">
            <v>37456300</v>
          </cell>
          <cell r="G49" t="str">
            <v>nd</v>
          </cell>
          <cell r="H49">
            <v>73547681</v>
          </cell>
          <cell r="K49">
            <v>117099957.22</v>
          </cell>
        </row>
        <row r="50">
          <cell r="B50" t="str">
            <v>Asistencia Tec Calidad Aire y Suelo</v>
          </cell>
          <cell r="C50">
            <v>84896.67</v>
          </cell>
          <cell r="E50">
            <v>84896.67</v>
          </cell>
          <cell r="G50">
            <v>84896.67</v>
          </cell>
          <cell r="K50">
            <v>254690.01</v>
          </cell>
        </row>
        <row r="51">
          <cell r="B51" t="str">
            <v>Asistencia Tec Calidad Planta</v>
          </cell>
          <cell r="C51">
            <v>61500</v>
          </cell>
          <cell r="E51">
            <v>50400</v>
          </cell>
          <cell r="G51">
            <v>65600</v>
          </cell>
          <cell r="H51">
            <v>54984</v>
          </cell>
          <cell r="K51">
            <v>232484</v>
          </cell>
        </row>
        <row r="52">
          <cell r="H52" t="str">
            <v>ND</v>
          </cell>
          <cell r="K52">
            <v>0</v>
          </cell>
        </row>
        <row r="53">
          <cell r="B53" t="str">
            <v>Combustible</v>
          </cell>
          <cell r="C53" t="str">
            <v>info N.I.</v>
          </cell>
          <cell r="E53">
            <v>172104</v>
          </cell>
          <cell r="G53" t="str">
            <v>nd</v>
          </cell>
          <cell r="H53" t="str">
            <v>ND</v>
          </cell>
          <cell r="K53">
            <v>172104</v>
          </cell>
        </row>
        <row r="54">
          <cell r="B54" t="str">
            <v>CONTRATAS/CONVENIOS</v>
          </cell>
          <cell r="H54" t="str">
            <v>ND</v>
          </cell>
          <cell r="K54">
            <v>0</v>
          </cell>
        </row>
        <row r="55">
          <cell r="B55" t="str">
            <v>Energia Electrica(dif precio energía??)</v>
          </cell>
          <cell r="C55" t="str">
            <v>info N.I.</v>
          </cell>
          <cell r="E55">
            <v>393239.23</v>
          </cell>
          <cell r="G55" t="str">
            <v>¿?</v>
          </cell>
          <cell r="H55" t="str">
            <v>ND</v>
          </cell>
          <cell r="K55">
            <v>393239.23</v>
          </cell>
        </row>
        <row r="56">
          <cell r="B56" t="str">
            <v>Gastos diversos</v>
          </cell>
          <cell r="E56">
            <v>102336.45</v>
          </cell>
          <cell r="K56">
            <v>102336.45</v>
          </cell>
        </row>
        <row r="57">
          <cell r="B57" t="str">
            <v>Limpieza</v>
          </cell>
          <cell r="C57">
            <v>600000</v>
          </cell>
          <cell r="E57">
            <v>36000</v>
          </cell>
          <cell r="G57" t="str">
            <v>nd</v>
          </cell>
          <cell r="H57" t="str">
            <v>ND</v>
          </cell>
          <cell r="K57">
            <v>636000</v>
          </cell>
        </row>
        <row r="58">
          <cell r="B58" t="str">
            <v xml:space="preserve">Mantenimiento - Seguridad </v>
          </cell>
          <cell r="C58">
            <v>200000</v>
          </cell>
          <cell r="E58">
            <v>76000</v>
          </cell>
          <cell r="G58" t="str">
            <v>nd</v>
          </cell>
          <cell r="H58" t="str">
            <v>ND</v>
          </cell>
          <cell r="K58">
            <v>276000</v>
          </cell>
        </row>
        <row r="59">
          <cell r="B59" t="str">
            <v>OTROS</v>
          </cell>
          <cell r="E59">
            <v>60500</v>
          </cell>
          <cell r="K59">
            <v>60500</v>
          </cell>
        </row>
        <row r="60">
          <cell r="B60" t="str">
            <v>PERSONAL</v>
          </cell>
          <cell r="C60">
            <v>495992.56</v>
          </cell>
          <cell r="E60">
            <v>311046.49</v>
          </cell>
          <cell r="G60">
            <v>409944.15</v>
          </cell>
          <cell r="H60">
            <v>275999.14</v>
          </cell>
          <cell r="K60">
            <v>1492982.3400000003</v>
          </cell>
        </row>
        <row r="61">
          <cell r="B61" t="str">
            <v>RENTING</v>
          </cell>
          <cell r="C61">
            <v>929.91</v>
          </cell>
          <cell r="E61">
            <v>929.91</v>
          </cell>
          <cell r="G61">
            <v>929.91</v>
          </cell>
          <cell r="H61">
            <v>929.91</v>
          </cell>
          <cell r="K61">
            <v>3719.64</v>
          </cell>
        </row>
        <row r="62">
          <cell r="B62" t="str">
            <v>Trabajos realizados por otras empresas</v>
          </cell>
          <cell r="E62">
            <v>1153755.44</v>
          </cell>
          <cell r="H62" t="str">
            <v>ND</v>
          </cell>
          <cell r="K62">
            <v>1153755.44</v>
          </cell>
        </row>
        <row r="63">
          <cell r="B63" t="str">
            <v>PRERECOGIDA</v>
          </cell>
          <cell r="K63">
            <v>0</v>
          </cell>
        </row>
        <row r="64">
          <cell r="B64" t="str">
            <v>RECOGIDAS</v>
          </cell>
          <cell r="K64">
            <v>0</v>
          </cell>
        </row>
        <row r="67">
          <cell r="B67" t="str">
            <v>Total</v>
          </cell>
          <cell r="C67">
            <v>14165454.4398368</v>
          </cell>
          <cell r="E67">
            <v>47417216.189999998</v>
          </cell>
          <cell r="G67">
            <v>1268921.89625042</v>
          </cell>
          <cell r="H67">
            <v>73879594.049999997</v>
          </cell>
          <cell r="I67">
            <v>0</v>
          </cell>
          <cell r="J67">
            <v>136731186.57608721</v>
          </cell>
          <cell r="K67">
            <v>136731186.57608721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3"/>
      <sheetName val="factores y actividades"/>
      <sheetName val="Hoja5 (3)"/>
      <sheetName val="Hoja5 (2)"/>
      <sheetName val="Hoja5"/>
      <sheetName val="Coste Factores PTV"/>
      <sheetName val="Gráfico5"/>
      <sheetName val="Gráfico4"/>
      <sheetName val="Gráfico3"/>
      <sheetName val="Gráfico2"/>
      <sheetName val="Gráfico1"/>
      <sheetName val="Hoja4"/>
      <sheetName val="Personal-Tratamientos"/>
      <sheetName val="Graf Activ Recogidas"/>
      <sheetName val="Contrat+Renting+Person recogid2"/>
      <sheetName val="Contratas+Renting+Personal reco"/>
      <sheetName val="Contratas recogi+prerecogida"/>
      <sheetName val="Coste Renting recog+prerecogida"/>
      <sheetName val="Coste personal recogidas+prerec"/>
      <sheetName val="Personal N0-1 Tasa Horaria"/>
      <sheetName val="Hoja1 (3)"/>
      <sheetName val="Hoja1 (2)"/>
      <sheetName val="Hoja1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S1" t="str">
            <v>Selección y Clasificación de restos.</v>
          </cell>
        </row>
        <row r="2">
          <cell r="S2" t="str">
            <v>Selección y clasificación de envases.</v>
          </cell>
        </row>
        <row r="3">
          <cell r="S3" t="str">
            <v>Selección y clasificación de residuos voluminosos.</v>
          </cell>
        </row>
        <row r="4">
          <cell r="S4" t="str">
            <v>Incineración de animales muertos.</v>
          </cell>
        </row>
        <row r="5">
          <cell r="S5" t="str">
            <v>Plantas de Compostaje.</v>
          </cell>
        </row>
        <row r="6">
          <cell r="S6" t="str">
            <v>Valorización energética.</v>
          </cell>
        </row>
        <row r="7">
          <cell r="S7" t="str">
            <v>Deposito final en vertedero</v>
          </cell>
        </row>
        <row r="8">
          <cell r="S8" t="str">
            <v>Transferencia de papel cartón.</v>
          </cell>
        </row>
        <row r="9">
          <cell r="S9" t="str">
            <v>Transferencia de Vidrio.</v>
          </cell>
        </row>
        <row r="10">
          <cell r="S10" t="str">
            <v>Transferencia de otros materiales recuperados.</v>
          </cell>
        </row>
        <row r="11">
          <cell r="S11" t="str">
            <v>Transferencia de compost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workbookViewId="0">
      <selection activeCell="B24" sqref="B24"/>
    </sheetView>
  </sheetViews>
  <sheetFormatPr baseColWidth="10" defaultRowHeight="15" x14ac:dyDescent="0.25"/>
  <cols>
    <col min="2" max="2" width="111.5703125" bestFit="1" customWidth="1"/>
  </cols>
  <sheetData>
    <row r="1" spans="1:2" x14ac:dyDescent="0.25">
      <c r="A1" s="103" t="s">
        <v>138</v>
      </c>
      <c r="B1" s="103"/>
    </row>
    <row r="3" spans="1:2" x14ac:dyDescent="0.25">
      <c r="A3" s="102" t="s">
        <v>139</v>
      </c>
      <c r="B3" t="s">
        <v>83</v>
      </c>
    </row>
    <row r="4" spans="1:2" x14ac:dyDescent="0.25">
      <c r="A4" s="102" t="s">
        <v>140</v>
      </c>
      <c r="B4" t="s">
        <v>84</v>
      </c>
    </row>
    <row r="5" spans="1:2" x14ac:dyDescent="0.25">
      <c r="A5" s="102" t="s">
        <v>141</v>
      </c>
      <c r="B5" t="s">
        <v>144</v>
      </c>
    </row>
    <row r="6" spans="1:2" x14ac:dyDescent="0.25">
      <c r="A6" s="102" t="s">
        <v>142</v>
      </c>
      <c r="B6" t="s">
        <v>137</v>
      </c>
    </row>
    <row r="7" spans="1:2" x14ac:dyDescent="0.25">
      <c r="A7" s="102" t="s">
        <v>143</v>
      </c>
      <c r="B7" s="101" t="s">
        <v>121</v>
      </c>
    </row>
    <row r="9" spans="1:2" x14ac:dyDescent="0.25">
      <c r="A9" s="102" t="s">
        <v>145</v>
      </c>
    </row>
    <row r="11" spans="1:2" x14ac:dyDescent="0.25">
      <c r="A11" s="103" t="s">
        <v>146</v>
      </c>
      <c r="B11" s="103"/>
    </row>
    <row r="13" spans="1:2" x14ac:dyDescent="0.25">
      <c r="A13" s="102" t="s">
        <v>156</v>
      </c>
      <c r="B13" t="str">
        <f>Enunciado!B110&amp;" "&amp;Enunciado!B111</f>
        <v>1.     Calcular el coste propio de cada una de las actividades para los niveles N0, N1, N2 y N3.     a.     En conjunto</v>
      </c>
    </row>
    <row r="14" spans="1:2" x14ac:dyDescent="0.25">
      <c r="A14" s="102" t="s">
        <v>147</v>
      </c>
      <c r="B14" s="97" t="s">
        <v>97</v>
      </c>
    </row>
    <row r="15" spans="1:2" x14ac:dyDescent="0.25">
      <c r="A15" s="102" t="s">
        <v>157</v>
      </c>
      <c r="B15" s="97" t="str">
        <f>Enunciado!B110&amp;" "&amp;Enunciado!B112</f>
        <v>1.     Calcular el coste propio de cada una de las actividades para los niveles N0, N1, N2 y N3.     b.     Por unidad de cost driver</v>
      </c>
    </row>
    <row r="16" spans="1:2" x14ac:dyDescent="0.25">
      <c r="A16" s="102" t="s">
        <v>148</v>
      </c>
      <c r="B16" t="str">
        <f>Solución!B53</f>
        <v>Tabla Sol.02 Coste Propio Unitario de las actividades del servicio</v>
      </c>
    </row>
    <row r="17" spans="1:2" x14ac:dyDescent="0.25">
      <c r="A17" s="102" t="str">
        <f>Apartado2</f>
        <v>Apartado 2)</v>
      </c>
      <c r="B17" t="str">
        <f>Enunciado!B113</f>
        <v>2.     Calcular el coste acumulado de las actividades en el nivel N1 en conjunto y por unidad de cost driver</v>
      </c>
    </row>
    <row r="18" spans="1:2" x14ac:dyDescent="0.25">
      <c r="A18" s="102" t="s">
        <v>149</v>
      </c>
      <c r="B18" t="str">
        <f>Solución!B65</f>
        <v>Tabla Sol.03 Coste de traza deactividades N0 a actividades N1</v>
      </c>
    </row>
    <row r="19" spans="1:2" x14ac:dyDescent="0.25">
      <c r="A19" s="102" t="s">
        <v>150</v>
      </c>
      <c r="B19" t="str">
        <f>Solución!B82</f>
        <v>Tabla Sol.04 Coste de traza y acumulado actividades N1</v>
      </c>
    </row>
    <row r="20" spans="1:2" x14ac:dyDescent="0.25">
      <c r="A20" s="102" t="str">
        <f>Apartado3</f>
        <v>Apartado 3)</v>
      </c>
      <c r="B20" t="str">
        <f>Enunciado!B114</f>
        <v>3.     Calcular el coste acumulado de las actividades en el nivel N2 en conjunto y por unidad de cost driver</v>
      </c>
    </row>
    <row r="21" spans="1:2" x14ac:dyDescent="0.25">
      <c r="A21" s="102" t="s">
        <v>151</v>
      </c>
      <c r="B21" t="str">
        <f>Solución!B103</f>
        <v>Tabla Sol.05 Coste de traza y acumulado actividades N2</v>
      </c>
    </row>
    <row r="22" spans="1:2" x14ac:dyDescent="0.25">
      <c r="A22" s="102" t="s">
        <v>152</v>
      </c>
      <c r="B22" t="str">
        <f>Solución!B119</f>
        <v>Tabla Sol.06 Coste acumulado actividades N2</v>
      </c>
    </row>
    <row r="23" spans="1:2" x14ac:dyDescent="0.25">
      <c r="A23" s="102" t="str">
        <f>Apartado4</f>
        <v>Apartado 4)</v>
      </c>
      <c r="B23" t="str">
        <f>Enunciado!B115</f>
        <v>4.     Calcular el coste acumulado de las actividades en el nivel N3 en conjunto y por unidad de cost driver</v>
      </c>
    </row>
    <row r="24" spans="1:2" x14ac:dyDescent="0.25">
      <c r="A24" s="102" t="s">
        <v>153</v>
      </c>
      <c r="B24" t="str">
        <f>Solución!B138</f>
        <v>Tabla Sol.07 Coste de traza de actividades N2 a Actividades N3</v>
      </c>
    </row>
    <row r="25" spans="1:2" x14ac:dyDescent="0.25">
      <c r="A25" s="102" t="s">
        <v>154</v>
      </c>
      <c r="B25" t="str">
        <f>Solución!B148</f>
        <v>Tabla Sol.08 Coste Acumulado Actividades N3</v>
      </c>
    </row>
    <row r="26" spans="1:2" x14ac:dyDescent="0.25">
      <c r="A26" s="102" t="str">
        <f>Apartado5</f>
        <v>Apartado 5)</v>
      </c>
      <c r="B26" t="str">
        <f>Enunciado!B116</f>
        <v>5. Valorar el coste acumulado de todas las prestaciones descritas en el enunciado</v>
      </c>
    </row>
    <row r="27" spans="1:2" x14ac:dyDescent="0.25">
      <c r="A27" s="102" t="s">
        <v>155</v>
      </c>
      <c r="B27" t="str">
        <f>Solución!B194</f>
        <v>Tabla Sol.09 Coste acumulado de las prestaciones del servicio de RSU</v>
      </c>
    </row>
  </sheetData>
  <sheetProtection sheet="1" objects="1" scenarios="1"/>
  <mergeCells count="2">
    <mergeCell ref="A1:B1"/>
    <mergeCell ref="A11:B11"/>
  </mergeCells>
  <hyperlinks>
    <hyperlink ref="A3" location="Tabla_1" display="Tabla 1"/>
    <hyperlink ref="A4" location="Tabla_2" display="Tabla 2"/>
    <hyperlink ref="A5" location="Tabla_3" display="Tabla 3"/>
    <hyperlink ref="A6" location="Tabla_4" display="Tabla 4"/>
    <hyperlink ref="A7" location="Tabla_5" display="Tabla 5"/>
    <hyperlink ref="A9" location="SE_PIDE" display="Se pide"/>
    <hyperlink ref="A13" location="Apartado1a" display="1.a)"/>
    <hyperlink ref="A14" location="TablaSol01" display="Tabla Sol.01"/>
    <hyperlink ref="A15" location="apartado1b" display="1.b)"/>
    <hyperlink ref="A16" location="TablaSol02" display="Tabla Sol.02"/>
    <hyperlink ref="A17" location="Apartado2" display="Apartado2"/>
    <hyperlink ref="A18" location="TablaSol03" display="Tabla Sol.03"/>
    <hyperlink ref="A19" location="TablaSol04" display="Tabla Sol.04"/>
    <hyperlink ref="A20" location="Apartado3" display="Apartado3"/>
    <hyperlink ref="A21" location="TablaSol05" display="Tabla Sol.05"/>
    <hyperlink ref="A22" location="TablaSol06" display="Tabla Sol.06"/>
    <hyperlink ref="A23" location="Apartado4" display="Apartado4"/>
    <hyperlink ref="A24" location="TablaSol07" display="Tabla Sol.07"/>
    <hyperlink ref="A25" location="TablaSol08" display="Tabla Sol.08"/>
    <hyperlink ref="A26" location="Apartado5" display="Apartado5"/>
    <hyperlink ref="A27" location="TablaSol09" display="Tabla Sol.0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7"/>
  <sheetViews>
    <sheetView showGridLines="0" topLeftCell="A13" workbookViewId="0">
      <selection activeCell="B109" sqref="B109:F116"/>
    </sheetView>
  </sheetViews>
  <sheetFormatPr baseColWidth="10" defaultColWidth="0" defaultRowHeight="15" zeroHeight="1" x14ac:dyDescent="0.25"/>
  <cols>
    <col min="1" max="1" width="19.28515625" customWidth="1"/>
    <col min="2" max="2" width="44.28515625" customWidth="1"/>
    <col min="3" max="3" width="12.140625" bestFit="1" customWidth="1"/>
    <col min="4" max="6" width="11.42578125" customWidth="1"/>
    <col min="7" max="7" width="12.140625" bestFit="1" customWidth="1"/>
    <col min="8" max="9" width="11.42578125" customWidth="1"/>
    <col min="10" max="11" width="12.140625" bestFit="1" customWidth="1"/>
    <col min="12" max="12" width="11.42578125" customWidth="1"/>
    <col min="13" max="16384" width="11.42578125" hidden="1"/>
  </cols>
  <sheetData>
    <row r="1" spans="1:11" ht="30" x14ac:dyDescent="0.25">
      <c r="A1" s="52" t="s">
        <v>3</v>
      </c>
      <c r="B1" s="52" t="s">
        <v>4</v>
      </c>
      <c r="C1" s="94" t="s">
        <v>6</v>
      </c>
      <c r="D1" s="95" t="s">
        <v>5</v>
      </c>
      <c r="E1" s="95" t="s">
        <v>51</v>
      </c>
    </row>
    <row r="2" spans="1:11" ht="32.25" customHeight="1" x14ac:dyDescent="0.25">
      <c r="A2" s="113" t="s">
        <v>81</v>
      </c>
      <c r="B2" s="52" t="s">
        <v>0</v>
      </c>
      <c r="C2" s="1" t="s">
        <v>7</v>
      </c>
      <c r="D2" s="1" t="s">
        <v>52</v>
      </c>
      <c r="E2" s="83">
        <f>E3+E4</f>
        <v>40900</v>
      </c>
      <c r="H2" s="75" t="s">
        <v>13</v>
      </c>
      <c r="I2" s="75" t="s">
        <v>14</v>
      </c>
    </row>
    <row r="3" spans="1:11" ht="45" x14ac:dyDescent="0.25">
      <c r="A3" s="114"/>
      <c r="B3" s="52" t="s">
        <v>67</v>
      </c>
      <c r="C3" s="1" t="s">
        <v>8</v>
      </c>
      <c r="D3" s="1" t="s">
        <v>53</v>
      </c>
      <c r="E3" s="83">
        <v>40000</v>
      </c>
      <c r="H3" s="76" t="s">
        <v>119</v>
      </c>
      <c r="I3" s="77">
        <f>E3</f>
        <v>40000</v>
      </c>
    </row>
    <row r="4" spans="1:11" ht="30" x14ac:dyDescent="0.25">
      <c r="A4" s="115"/>
      <c r="B4" s="52" t="s">
        <v>68</v>
      </c>
      <c r="C4" s="1" t="s">
        <v>8</v>
      </c>
      <c r="D4" s="1" t="s">
        <v>53</v>
      </c>
      <c r="E4" s="83">
        <v>900</v>
      </c>
      <c r="H4" s="76" t="s">
        <v>15</v>
      </c>
      <c r="I4" s="78">
        <f>E4</f>
        <v>900</v>
      </c>
    </row>
    <row r="5" spans="1:11" ht="30.75" customHeight="1" x14ac:dyDescent="0.25">
      <c r="A5" s="116" t="s">
        <v>69</v>
      </c>
      <c r="B5" s="52" t="s">
        <v>70</v>
      </c>
      <c r="C5" s="1" t="s">
        <v>8</v>
      </c>
      <c r="D5" s="1" t="s">
        <v>53</v>
      </c>
      <c r="E5" s="83">
        <v>3500</v>
      </c>
      <c r="H5" s="76" t="s">
        <v>16</v>
      </c>
      <c r="I5" s="77">
        <v>3500</v>
      </c>
    </row>
    <row r="6" spans="1:11" ht="30" x14ac:dyDescent="0.25">
      <c r="A6" s="116"/>
      <c r="B6" s="52" t="s">
        <v>71</v>
      </c>
      <c r="C6" s="1" t="s">
        <v>8</v>
      </c>
      <c r="D6" s="1" t="s">
        <v>53</v>
      </c>
      <c r="E6" s="83">
        <v>600</v>
      </c>
      <c r="H6" s="76" t="s">
        <v>17</v>
      </c>
      <c r="I6" s="79">
        <v>600</v>
      </c>
    </row>
    <row r="7" spans="1:11" ht="30" x14ac:dyDescent="0.25">
      <c r="A7" s="116"/>
      <c r="B7" s="52" t="s">
        <v>72</v>
      </c>
      <c r="C7" s="1" t="s">
        <v>8</v>
      </c>
      <c r="D7" s="1" t="s">
        <v>53</v>
      </c>
      <c r="E7" s="83">
        <v>6</v>
      </c>
      <c r="H7" s="76" t="s">
        <v>120</v>
      </c>
      <c r="I7" s="79">
        <v>6</v>
      </c>
    </row>
    <row r="8" spans="1:11" ht="45" x14ac:dyDescent="0.25">
      <c r="A8" s="116"/>
      <c r="B8" s="52" t="s">
        <v>73</v>
      </c>
      <c r="C8" s="1" t="s">
        <v>8</v>
      </c>
      <c r="D8" s="1" t="s">
        <v>53</v>
      </c>
      <c r="E8" s="83">
        <v>225</v>
      </c>
      <c r="H8" s="76" t="s">
        <v>18</v>
      </c>
      <c r="I8" s="79">
        <v>400</v>
      </c>
    </row>
    <row r="9" spans="1:11" ht="45" x14ac:dyDescent="0.25">
      <c r="A9" s="53" t="s">
        <v>74</v>
      </c>
      <c r="B9" s="52" t="s">
        <v>75</v>
      </c>
      <c r="C9" s="1" t="s">
        <v>8</v>
      </c>
      <c r="D9" s="1" t="s">
        <v>53</v>
      </c>
      <c r="E9" s="83">
        <v>400</v>
      </c>
      <c r="H9" s="80" t="s">
        <v>1</v>
      </c>
      <c r="I9" s="81">
        <f>E8</f>
        <v>225</v>
      </c>
    </row>
    <row r="10" spans="1:11" ht="15.75" customHeight="1" x14ac:dyDescent="0.25">
      <c r="A10" s="116" t="s">
        <v>76</v>
      </c>
      <c r="B10" s="52" t="s">
        <v>77</v>
      </c>
      <c r="C10" s="2" t="s">
        <v>9</v>
      </c>
      <c r="D10" s="1" t="s">
        <v>54</v>
      </c>
      <c r="E10" s="83">
        <f>E3</f>
        <v>40000</v>
      </c>
      <c r="H10" s="76" t="s">
        <v>19</v>
      </c>
      <c r="I10" s="77">
        <f>SUM(I3:I9)</f>
        <v>45631</v>
      </c>
    </row>
    <row r="11" spans="1:11" x14ac:dyDescent="0.25">
      <c r="A11" s="116"/>
      <c r="B11" s="52" t="s">
        <v>31</v>
      </c>
      <c r="C11" s="2" t="s">
        <v>9</v>
      </c>
      <c r="D11" s="1" t="s">
        <v>54</v>
      </c>
      <c r="E11" s="83">
        <f>E4</f>
        <v>900</v>
      </c>
    </row>
    <row r="12" spans="1:11" x14ac:dyDescent="0.25">
      <c r="A12" s="116"/>
      <c r="B12" s="52" t="s">
        <v>32</v>
      </c>
      <c r="C12" s="2" t="s">
        <v>9</v>
      </c>
      <c r="D12" s="1" t="s">
        <v>54</v>
      </c>
      <c r="E12" s="83">
        <f>E5+(E8*33%)</f>
        <v>3574.25</v>
      </c>
    </row>
    <row r="13" spans="1:11" x14ac:dyDescent="0.25">
      <c r="A13" s="116"/>
      <c r="B13" s="52" t="s">
        <v>33</v>
      </c>
      <c r="C13" s="2" t="s">
        <v>9</v>
      </c>
      <c r="D13" s="1" t="s">
        <v>54</v>
      </c>
      <c r="E13" s="83">
        <f>E6+(E8*64%)</f>
        <v>744</v>
      </c>
    </row>
    <row r="14" spans="1:11" x14ac:dyDescent="0.25">
      <c r="A14" s="116"/>
      <c r="B14" s="52" t="s">
        <v>47</v>
      </c>
      <c r="C14" s="2" t="s">
        <v>9</v>
      </c>
      <c r="D14" s="1" t="s">
        <v>54</v>
      </c>
      <c r="E14" s="83">
        <f>E7+(E8*3%)</f>
        <v>12.75</v>
      </c>
    </row>
    <row r="15" spans="1:11" ht="30" x14ac:dyDescent="0.25">
      <c r="A15" s="116"/>
      <c r="B15" s="52" t="s">
        <v>78</v>
      </c>
      <c r="C15" s="2" t="s">
        <v>9</v>
      </c>
      <c r="D15" s="1" t="s">
        <v>54</v>
      </c>
      <c r="E15" s="83">
        <f>E9</f>
        <v>400</v>
      </c>
    </row>
    <row r="16" spans="1:11" ht="15" customHeight="1" x14ac:dyDescent="0.25">
      <c r="A16" s="117" t="s">
        <v>79</v>
      </c>
      <c r="B16" s="52" t="s">
        <v>34</v>
      </c>
      <c r="C16" s="2" t="s">
        <v>10</v>
      </c>
      <c r="D16" s="1" t="s">
        <v>55</v>
      </c>
      <c r="E16" s="83">
        <f>SUM(F16:L16)</f>
        <v>20404.817500000001</v>
      </c>
      <c r="F16" s="82">
        <f t="array" ref="F16:K18">TRANSPOSE(E10:E15*Enunciado!C45:E50)</f>
        <v>15200</v>
      </c>
      <c r="G16" s="82">
        <v>837</v>
      </c>
      <c r="H16" s="82">
        <v>3538.5075000000002</v>
      </c>
      <c r="I16" s="82">
        <v>736.56</v>
      </c>
      <c r="J16" s="82">
        <v>12.75</v>
      </c>
      <c r="K16" s="82">
        <v>80</v>
      </c>
    </row>
    <row r="17" spans="1:11" x14ac:dyDescent="0.25">
      <c r="A17" s="117"/>
      <c r="B17" s="52" t="s">
        <v>80</v>
      </c>
      <c r="C17" s="2" t="s">
        <v>10</v>
      </c>
      <c r="D17" s="1" t="s">
        <v>56</v>
      </c>
      <c r="E17" s="83">
        <f>SUM(F17:L17)</f>
        <v>8000</v>
      </c>
      <c r="F17" s="82">
        <v>8000</v>
      </c>
      <c r="G17" s="82">
        <v>0</v>
      </c>
      <c r="H17" s="82">
        <v>0</v>
      </c>
      <c r="I17" s="82">
        <v>0</v>
      </c>
      <c r="J17" s="82">
        <v>0</v>
      </c>
      <c r="K17" s="82">
        <v>0</v>
      </c>
    </row>
    <row r="18" spans="1:11" x14ac:dyDescent="0.25">
      <c r="A18" s="117"/>
      <c r="B18" s="52" t="s">
        <v>82</v>
      </c>
      <c r="C18" s="2" t="s">
        <v>10</v>
      </c>
      <c r="D18" s="1" t="s">
        <v>55</v>
      </c>
      <c r="E18" s="83">
        <f>SUM(F18:L18)</f>
        <v>17226.182499999999</v>
      </c>
      <c r="F18" s="82">
        <v>16800</v>
      </c>
      <c r="G18" s="82">
        <v>63.000000000000007</v>
      </c>
      <c r="H18" s="82">
        <v>35.7425</v>
      </c>
      <c r="I18" s="82">
        <v>7.44</v>
      </c>
      <c r="J18" s="82">
        <v>0</v>
      </c>
      <c r="K18" s="82">
        <v>320</v>
      </c>
    </row>
    <row r="19" spans="1:11" x14ac:dyDescent="0.25">
      <c r="A19" s="120" t="s">
        <v>83</v>
      </c>
      <c r="B19" s="120"/>
      <c r="C19" s="120"/>
      <c r="D19" s="120"/>
      <c r="E19" s="120"/>
    </row>
    <row r="20" spans="1:11" ht="16.5" customHeight="1" x14ac:dyDescent="0.25"/>
    <row r="21" spans="1:11" x14ac:dyDescent="0.25">
      <c r="C21" s="124" t="str">
        <f>C3</f>
        <v>N1</v>
      </c>
      <c r="D21" s="124"/>
      <c r="E21" s="124"/>
      <c r="F21" s="124"/>
      <c r="G21" s="124"/>
      <c r="H21" s="124"/>
      <c r="I21" s="124"/>
    </row>
    <row r="22" spans="1:11" ht="141.75" customHeight="1" x14ac:dyDescent="0.25">
      <c r="A22" s="40"/>
      <c r="C22" s="54" t="str">
        <f t="array" ref="C22:I22">TRANSPOSE(B3:B9)</f>
        <v>1.b. Fracción Orgánica+-restos. Recogida y Transporte a centros de tratamiento.</v>
      </c>
      <c r="D22" s="54" t="str">
        <v>1.c. Fracción Envases. Recogida y Transporte a centros de tratamiento.</v>
      </c>
      <c r="E22" s="54" t="str">
        <v xml:space="preserve">2.a. Recogida y transporte a centros de transferencia de papel y cartón </v>
      </c>
      <c r="F22" s="54" t="str">
        <v>2.b. Recogida y transporte  a centros de transferencia de vidrio</v>
      </c>
      <c r="G22" s="54" t="str">
        <v>2.c. Recogida y transporte  a centros de transferencia de pilas usadas.</v>
      </c>
      <c r="H22" s="54" t="str">
        <v>2.d. Recogida y transporte a centros de transferencia de papel-cartón, vidrio y pilas en punto limpio</v>
      </c>
      <c r="I22" s="54" t="str">
        <v>3.a. Recogida y transporte a centros de transferencia de muebles-enseres y vehículos fuera de uso</v>
      </c>
      <c r="J22" s="54" t="s">
        <v>85</v>
      </c>
      <c r="K22" s="55" t="s">
        <v>86</v>
      </c>
    </row>
    <row r="23" spans="1:11" ht="30" x14ac:dyDescent="0.25">
      <c r="A23" s="49" t="str">
        <f t="array" ref="A23">C2</f>
        <v>N0</v>
      </c>
      <c r="B23" s="3" t="str">
        <f t="array" ref="B23">B2</f>
        <v>1.a. Colocación, mantenimiento y transporte de los contenedores</v>
      </c>
      <c r="C23" s="84">
        <v>0.92</v>
      </c>
      <c r="D23" s="84">
        <v>0.08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41">
        <f>SUM(C23:I23)</f>
        <v>1</v>
      </c>
      <c r="K23" s="12">
        <f t="array" ref="K23">Solución!G6</f>
        <v>189416.72367236722</v>
      </c>
    </row>
    <row r="24" spans="1:11" x14ac:dyDescent="0.25">
      <c r="A24" s="40"/>
    </row>
    <row r="25" spans="1:11" x14ac:dyDescent="0.25">
      <c r="A25" s="40"/>
    </row>
    <row r="26" spans="1:11" x14ac:dyDescent="0.25">
      <c r="A26" s="40"/>
    </row>
    <row r="27" spans="1:11" ht="42.75" customHeight="1" x14ac:dyDescent="0.25">
      <c r="B27" s="125" t="s">
        <v>88</v>
      </c>
      <c r="C27" s="126"/>
      <c r="D27" s="126"/>
      <c r="E27" s="126"/>
      <c r="F27" s="126"/>
      <c r="G27" s="126"/>
      <c r="H27" s="126"/>
      <c r="I27" s="126"/>
      <c r="J27" s="126"/>
    </row>
    <row r="28" spans="1:11" x14ac:dyDescent="0.25"/>
    <row r="29" spans="1:11" ht="15" customHeight="1" x14ac:dyDescent="0.25">
      <c r="C29" s="121" t="s">
        <v>40</v>
      </c>
      <c r="D29" s="122"/>
      <c r="E29" s="122"/>
      <c r="F29" s="122"/>
      <c r="G29" s="122"/>
      <c r="H29" s="123"/>
    </row>
    <row r="30" spans="1:11" ht="93" x14ac:dyDescent="0.25">
      <c r="B30" s="6"/>
      <c r="C30" s="7" t="str">
        <f t="array" ref="C30:H30">TRANSPOSE(B10:B15)</f>
        <v xml:space="preserve">4.a. Tratamiento de orgánicos +Resto </v>
      </c>
      <c r="D30" s="7" t="str">
        <v>4.b. Tratamiento de Envases</v>
      </c>
      <c r="E30" s="7" t="str">
        <v>4.c. Tratamiento de Vidrio</v>
      </c>
      <c r="F30" s="7" t="str">
        <v>4.d. Tratamiento de Papel Cartón</v>
      </c>
      <c r="G30" s="7" t="str">
        <v>4.e. Tratamiento de Pilas</v>
      </c>
      <c r="H30" s="7" t="str">
        <v>4.f. Tratamiento de Voluminosos-Enseres- Vehículos</v>
      </c>
      <c r="I30" s="7" t="s">
        <v>50</v>
      </c>
      <c r="J30" s="55" t="s">
        <v>42</v>
      </c>
    </row>
    <row r="31" spans="1:11" ht="30" x14ac:dyDescent="0.25">
      <c r="A31" s="113" t="s">
        <v>41</v>
      </c>
      <c r="B31" s="8" t="str">
        <f t="array" ref="B31:B37">B3:B9</f>
        <v>1.b. Fracción Orgánica+-restos. Recogida y Transporte a centros de tratamiento.</v>
      </c>
      <c r="C31" s="85">
        <v>1</v>
      </c>
      <c r="D31" s="86"/>
      <c r="E31" s="86"/>
      <c r="F31" s="86"/>
      <c r="G31" s="86"/>
      <c r="H31" s="86"/>
      <c r="I31" s="9">
        <f t="shared" ref="I31:I37" si="0">SUM(C31:H31)</f>
        <v>1</v>
      </c>
      <c r="J31" s="12">
        <f t="array" ref="J31:J37">(Solución!E74:E80)</f>
        <v>2939350.3074707473</v>
      </c>
    </row>
    <row r="32" spans="1:11" ht="30" x14ac:dyDescent="0.25">
      <c r="A32" s="118"/>
      <c r="B32" s="8" t="str">
        <v>1.c. Fracción Envases. Recogida y Transporte a centros de tratamiento.</v>
      </c>
      <c r="C32" s="86"/>
      <c r="D32" s="85">
        <v>1</v>
      </c>
      <c r="E32" s="86"/>
      <c r="F32" s="86"/>
      <c r="G32" s="86"/>
      <c r="H32" s="86"/>
      <c r="I32" s="9">
        <f t="shared" si="0"/>
        <v>1</v>
      </c>
      <c r="J32" s="12">
        <v>162457.64032403243</v>
      </c>
    </row>
    <row r="33" spans="1:10" ht="30" x14ac:dyDescent="0.25">
      <c r="A33" s="118"/>
      <c r="B33" s="8" t="str">
        <v xml:space="preserve">2.a. Recogida y transporte a centros de transferencia de papel y cartón </v>
      </c>
      <c r="C33" s="86"/>
      <c r="D33" s="86"/>
      <c r="E33" s="86"/>
      <c r="F33" s="85">
        <v>1</v>
      </c>
      <c r="G33" s="86"/>
      <c r="H33" s="86"/>
      <c r="I33" s="9">
        <f t="shared" si="0"/>
        <v>1</v>
      </c>
      <c r="J33" s="12">
        <v>160367.52475247526</v>
      </c>
    </row>
    <row r="34" spans="1:10" ht="30" x14ac:dyDescent="0.25">
      <c r="A34" s="118"/>
      <c r="B34" s="8" t="str">
        <v>2.b. Recogida y transporte  a centros de transferencia de vidrio</v>
      </c>
      <c r="C34" s="86"/>
      <c r="D34" s="86"/>
      <c r="E34" s="85">
        <v>1</v>
      </c>
      <c r="F34" s="86"/>
      <c r="G34" s="86"/>
      <c r="H34" s="86"/>
      <c r="I34" s="9">
        <f t="shared" si="0"/>
        <v>1</v>
      </c>
      <c r="J34" s="12">
        <v>112245.899189919</v>
      </c>
    </row>
    <row r="35" spans="1:10" ht="30" x14ac:dyDescent="0.25">
      <c r="A35" s="118"/>
      <c r="B35" s="8" t="str">
        <v>2.c. Recogida y transporte  a centros de transferencia de pilas usadas.</v>
      </c>
      <c r="C35" s="86"/>
      <c r="D35" s="86"/>
      <c r="E35" s="86"/>
      <c r="F35" s="86"/>
      <c r="G35" s="85">
        <v>1</v>
      </c>
      <c r="H35" s="85"/>
      <c r="I35" s="9">
        <f t="shared" si="0"/>
        <v>1</v>
      </c>
      <c r="J35" s="12">
        <v>466.54365436543662</v>
      </c>
    </row>
    <row r="36" spans="1:10" ht="45" x14ac:dyDescent="0.25">
      <c r="A36" s="118"/>
      <c r="B36" s="8" t="str">
        <v>2.d. Recogida y transporte a centros de transferencia de papel-cartón, vidrio y pilas en punto limpio</v>
      </c>
      <c r="C36" s="86"/>
      <c r="D36" s="86"/>
      <c r="E36" s="85">
        <v>0.33</v>
      </c>
      <c r="F36" s="85">
        <v>0.64</v>
      </c>
      <c r="G36" s="85">
        <v>0.03</v>
      </c>
      <c r="H36" s="86"/>
      <c r="I36" s="9">
        <f t="shared" si="0"/>
        <v>1</v>
      </c>
      <c r="J36" s="12">
        <v>66391.881188118816</v>
      </c>
    </row>
    <row r="37" spans="1:10" ht="45" x14ac:dyDescent="0.25">
      <c r="A37" s="118"/>
      <c r="B37" s="8" t="str">
        <v>3.a. Recogida y transporte a centros de transferencia de muebles-enseres y vehículos fuera de uso</v>
      </c>
      <c r="C37" s="86"/>
      <c r="D37" s="86"/>
      <c r="E37" s="86"/>
      <c r="F37" s="86"/>
      <c r="G37" s="86"/>
      <c r="H37" s="85">
        <v>1</v>
      </c>
      <c r="I37" s="9">
        <f t="shared" si="0"/>
        <v>1</v>
      </c>
      <c r="J37" s="12">
        <v>149264.20342034206</v>
      </c>
    </row>
    <row r="38" spans="1:10" x14ac:dyDescent="0.25">
      <c r="A38" s="119"/>
      <c r="B38" s="17" t="s">
        <v>50</v>
      </c>
      <c r="C38" s="6"/>
      <c r="D38" s="6"/>
      <c r="E38" s="6"/>
      <c r="F38" s="6"/>
      <c r="G38" s="6"/>
      <c r="H38" s="6"/>
      <c r="J38" s="12">
        <f>SUM(J31:J37)</f>
        <v>3590544</v>
      </c>
    </row>
    <row r="39" spans="1:10" x14ac:dyDescent="0.25"/>
    <row r="40" spans="1:10" x14ac:dyDescent="0.25">
      <c r="A40" s="126" t="s">
        <v>84</v>
      </c>
      <c r="B40" s="126"/>
      <c r="C40" s="126"/>
      <c r="D40" s="126"/>
      <c r="E40" s="126"/>
      <c r="F40" s="126"/>
      <c r="G40" s="126"/>
      <c r="H40" s="126"/>
      <c r="I40" s="126"/>
    </row>
    <row r="41" spans="1:10" x14ac:dyDescent="0.25"/>
    <row r="42" spans="1:10" x14ac:dyDescent="0.25">
      <c r="B42" s="6"/>
      <c r="C42" s="6"/>
      <c r="D42" s="6"/>
      <c r="E42" s="6"/>
      <c r="F42" s="6"/>
    </row>
    <row r="43" spans="1:10" x14ac:dyDescent="0.25">
      <c r="B43" s="6"/>
      <c r="C43" s="127" t="str">
        <f>C16</f>
        <v>N3</v>
      </c>
      <c r="D43" s="128"/>
      <c r="E43" s="128"/>
      <c r="F43" s="129"/>
    </row>
    <row r="44" spans="1:10" ht="132" x14ac:dyDescent="0.25">
      <c r="B44" s="45"/>
      <c r="C44" s="7" t="str">
        <f t="array" ref="C44:E44">TRANSPOSE(B16:B18)</f>
        <v>5.a Transferencia de materiales recuperados para reutilización-Reciclaje</v>
      </c>
      <c r="D44" s="7" t="str">
        <v>5.b. Transferencia de energía generada</v>
      </c>
      <c r="E44" s="7" t="str">
        <v>5.c. Eliminación-Depósito en vertedero</v>
      </c>
      <c r="F44" s="7" t="s">
        <v>44</v>
      </c>
      <c r="G44" s="55" t="s">
        <v>87</v>
      </c>
    </row>
    <row r="45" spans="1:10" x14ac:dyDescent="0.25">
      <c r="A45" s="117" t="str">
        <f>C10</f>
        <v>N2</v>
      </c>
      <c r="B45" s="8" t="str">
        <f t="array" ref="B45:B50">Enunciado!B10:B15</f>
        <v xml:space="preserve">4.a. Tratamiento de orgánicos +Resto </v>
      </c>
      <c r="C45" s="85">
        <v>0.38</v>
      </c>
      <c r="D45" s="85">
        <v>0.2</v>
      </c>
      <c r="E45" s="85">
        <v>0.42</v>
      </c>
      <c r="F45" s="9">
        <f t="shared" ref="F45:F50" si="1">SUM(C45:E45)</f>
        <v>1</v>
      </c>
      <c r="G45" s="32">
        <f t="array" ref="G45:G50">Solución!E111:E116</f>
        <v>3748950.3074707473</v>
      </c>
    </row>
    <row r="46" spans="1:10" x14ac:dyDescent="0.25">
      <c r="A46" s="117"/>
      <c r="B46" s="8" t="str">
        <v>4.b. Tratamiento de Envases</v>
      </c>
      <c r="C46" s="85">
        <v>0.93</v>
      </c>
      <c r="D46" s="86"/>
      <c r="E46" s="85">
        <v>7.0000000000000007E-2</v>
      </c>
      <c r="F46" s="9">
        <f t="shared" si="1"/>
        <v>1</v>
      </c>
      <c r="G46" s="32">
        <v>162457.64032403243</v>
      </c>
    </row>
    <row r="47" spans="1:10" x14ac:dyDescent="0.25">
      <c r="A47" s="117"/>
      <c r="B47" s="8" t="str">
        <v>4.c. Tratamiento de Vidrio</v>
      </c>
      <c r="C47" s="85">
        <v>0.99</v>
      </c>
      <c r="D47" s="86"/>
      <c r="E47" s="85">
        <v>0.01</v>
      </c>
      <c r="F47" s="9">
        <f t="shared" si="1"/>
        <v>1</v>
      </c>
      <c r="G47" s="32">
        <v>134155.21998199821</v>
      </c>
    </row>
    <row r="48" spans="1:10" x14ac:dyDescent="0.25">
      <c r="A48" s="117"/>
      <c r="B48" s="8" t="str">
        <v>4.d. Tratamiento de Papel Cartón</v>
      </c>
      <c r="C48" s="85">
        <v>0.99</v>
      </c>
      <c r="D48" s="86"/>
      <c r="E48" s="85">
        <v>0.01</v>
      </c>
      <c r="F48" s="9">
        <f t="shared" si="1"/>
        <v>1</v>
      </c>
      <c r="G48" s="32">
        <v>202858.3287128713</v>
      </c>
    </row>
    <row r="49" spans="1:7" x14ac:dyDescent="0.25">
      <c r="A49" s="117"/>
      <c r="B49" s="8" t="str">
        <v>4.e. Tratamiento de Pilas</v>
      </c>
      <c r="C49" s="85">
        <v>1</v>
      </c>
      <c r="D49" s="86"/>
      <c r="E49" s="86"/>
      <c r="F49" s="9">
        <f t="shared" si="1"/>
        <v>1</v>
      </c>
      <c r="G49" s="32">
        <v>2458.300090009001</v>
      </c>
    </row>
    <row r="50" spans="1:7" ht="30" x14ac:dyDescent="0.25">
      <c r="A50" s="117"/>
      <c r="B50" s="8" t="str">
        <v>4.f. Tratamiento de Voluminosos-Enseres- Vehículos</v>
      </c>
      <c r="C50" s="87">
        <v>0.2</v>
      </c>
      <c r="D50" s="88"/>
      <c r="E50" s="87">
        <v>0.8</v>
      </c>
      <c r="F50" s="9">
        <f t="shared" si="1"/>
        <v>1</v>
      </c>
      <c r="G50" s="32">
        <v>149264.20342034206</v>
      </c>
    </row>
    <row r="51" spans="1:7" x14ac:dyDescent="0.25">
      <c r="B51" s="8"/>
      <c r="C51" s="34"/>
      <c r="D51" s="35"/>
      <c r="E51" s="34"/>
      <c r="F51" s="34"/>
      <c r="G51" s="32"/>
    </row>
    <row r="52" spans="1:7" x14ac:dyDescent="0.25">
      <c r="B52" s="33" t="s">
        <v>12</v>
      </c>
      <c r="C52" s="33"/>
      <c r="D52" s="36"/>
      <c r="E52" s="36"/>
      <c r="F52" s="37"/>
      <c r="G52" s="38">
        <f>SUM(G45:G51)</f>
        <v>4400144.0000000009</v>
      </c>
    </row>
    <row r="53" spans="1:7" x14ac:dyDescent="0.25">
      <c r="B53" s="6"/>
      <c r="C53" s="6"/>
      <c r="D53" s="6"/>
      <c r="E53" s="6"/>
    </row>
    <row r="54" spans="1:7" ht="29.25" customHeight="1" x14ac:dyDescent="0.25">
      <c r="B54" s="125" t="s">
        <v>89</v>
      </c>
      <c r="C54" s="126"/>
      <c r="D54" s="126"/>
      <c r="E54" s="126"/>
      <c r="F54" s="126"/>
      <c r="G54" s="126"/>
    </row>
    <row r="55" spans="1:7" ht="34.5" customHeight="1" x14ac:dyDescent="0.25"/>
    <row r="56" spans="1:7" x14ac:dyDescent="0.25"/>
    <row r="57" spans="1:7" x14ac:dyDescent="0.25">
      <c r="A57" s="130"/>
      <c r="B57" s="130"/>
      <c r="C57" s="130"/>
      <c r="D57" s="130"/>
    </row>
    <row r="58" spans="1:7" x14ac:dyDescent="0.25">
      <c r="A58" s="17" t="s">
        <v>30</v>
      </c>
      <c r="B58" s="18" t="s">
        <v>28</v>
      </c>
      <c r="C58" s="19" t="s">
        <v>29</v>
      </c>
      <c r="D58" s="19" t="s">
        <v>36</v>
      </c>
    </row>
    <row r="59" spans="1:7" x14ac:dyDescent="0.25">
      <c r="A59" s="20" t="s">
        <v>25</v>
      </c>
      <c r="B59" s="20" t="s">
        <v>2</v>
      </c>
      <c r="C59" s="89">
        <v>2332485</v>
      </c>
      <c r="D59" s="21">
        <f>C59/$C$63</f>
        <v>0.53009287877851274</v>
      </c>
    </row>
    <row r="60" spans="1:7" x14ac:dyDescent="0.25">
      <c r="A60" s="20" t="s">
        <v>26</v>
      </c>
      <c r="B60" s="20" t="s">
        <v>22</v>
      </c>
      <c r="C60" s="89">
        <f>62559+(Enunciado!E3*20.24)</f>
        <v>872158.99999999988</v>
      </c>
      <c r="D60" s="21">
        <f>C60/$C$63</f>
        <v>0.19821146762469588</v>
      </c>
    </row>
    <row r="61" spans="1:7" x14ac:dyDescent="0.25">
      <c r="A61" s="20" t="s">
        <v>48</v>
      </c>
      <c r="B61" s="20" t="s">
        <v>49</v>
      </c>
      <c r="C61" s="89">
        <v>179500</v>
      </c>
      <c r="D61" s="21">
        <f>C61/$C$63</f>
        <v>4.079411946518114E-2</v>
      </c>
    </row>
    <row r="62" spans="1:7" x14ac:dyDescent="0.25">
      <c r="A62" s="20" t="s">
        <v>26</v>
      </c>
      <c r="B62" s="20" t="s">
        <v>23</v>
      </c>
      <c r="C62" s="89">
        <v>1016000</v>
      </c>
      <c r="D62" s="21">
        <f>C62/$C$63</f>
        <v>0.23090153413161024</v>
      </c>
    </row>
    <row r="63" spans="1:7" x14ac:dyDescent="0.25">
      <c r="A63" s="22"/>
      <c r="B63" s="17" t="s">
        <v>27</v>
      </c>
      <c r="C63" s="23">
        <f>SUM(C59:C62)</f>
        <v>4400144</v>
      </c>
      <c r="D63" s="24">
        <f>C63/$C$63</f>
        <v>1</v>
      </c>
    </row>
    <row r="64" spans="1:7" x14ac:dyDescent="0.25"/>
    <row r="65" spans="2:4" x14ac:dyDescent="0.25">
      <c r="B65" s="126" t="s">
        <v>137</v>
      </c>
      <c r="C65" s="126"/>
      <c r="D65" s="126"/>
    </row>
    <row r="66" spans="2:4" x14ac:dyDescent="0.25"/>
    <row r="67" spans="2:4" hidden="1" x14ac:dyDescent="0.25"/>
    <row r="68" spans="2:4" hidden="1" x14ac:dyDescent="0.25">
      <c r="B68" s="57" t="s">
        <v>90</v>
      </c>
      <c r="C68" s="90">
        <v>40000</v>
      </c>
    </row>
    <row r="69" spans="2:4" hidden="1" x14ac:dyDescent="0.25">
      <c r="B69" s="57" t="s">
        <v>20</v>
      </c>
      <c r="C69" s="91">
        <v>900</v>
      </c>
    </row>
    <row r="70" spans="2:4" hidden="1" x14ac:dyDescent="0.25">
      <c r="B70" s="57" t="s">
        <v>91</v>
      </c>
      <c r="C70" s="90">
        <v>3574.25</v>
      </c>
    </row>
    <row r="71" spans="2:4" hidden="1" x14ac:dyDescent="0.25">
      <c r="B71" s="57" t="s">
        <v>92</v>
      </c>
      <c r="C71" s="91">
        <v>744</v>
      </c>
    </row>
    <row r="72" spans="2:4" hidden="1" x14ac:dyDescent="0.25">
      <c r="B72" s="57" t="s">
        <v>21</v>
      </c>
      <c r="C72" s="91">
        <v>12.75</v>
      </c>
    </row>
    <row r="73" spans="2:4" hidden="1" x14ac:dyDescent="0.25">
      <c r="B73" s="57" t="s">
        <v>93</v>
      </c>
      <c r="C73" s="91">
        <v>400</v>
      </c>
    </row>
    <row r="74" spans="2:4" hidden="1" x14ac:dyDescent="0.25"/>
    <row r="75" spans="2:4" hidden="1" x14ac:dyDescent="0.25">
      <c r="B75" s="56" t="s">
        <v>94</v>
      </c>
      <c r="C75" s="56"/>
    </row>
    <row r="76" spans="2:4" hidden="1" x14ac:dyDescent="0.25"/>
    <row r="77" spans="2:4" hidden="1" x14ac:dyDescent="0.25"/>
    <row r="78" spans="2:4" hidden="1" x14ac:dyDescent="0.25"/>
    <row r="79" spans="2:4" hidden="1" x14ac:dyDescent="0.25"/>
    <row r="80" spans="2:4" hidden="1" x14ac:dyDescent="0.25"/>
    <row r="81" spans="2:6" hidden="1" x14ac:dyDescent="0.25"/>
    <row r="82" spans="2:6" hidden="1" x14ac:dyDescent="0.25"/>
    <row r="83" spans="2:6" x14ac:dyDescent="0.25"/>
    <row r="84" spans="2:6" x14ac:dyDescent="0.25"/>
    <row r="85" spans="2:6" ht="101.25" customHeight="1" x14ac:dyDescent="0.25">
      <c r="B85" s="16" t="s">
        <v>95</v>
      </c>
      <c r="C85" s="3" t="str">
        <f t="array" ref="C85:F85">TRANSPOSE(Enunciado!B59:B62)</f>
        <v>Personal</v>
      </c>
      <c r="D85" s="3" t="str">
        <v>Contratas</v>
      </c>
      <c r="E85" s="3" t="str">
        <v>amortizaciones</v>
      </c>
      <c r="F85" s="3" t="str">
        <v>Combustibles, Seguros, Reparaciones mantenimientos  y similares</v>
      </c>
    </row>
    <row r="86" spans="2:6" ht="30" x14ac:dyDescent="0.25">
      <c r="B86" s="3" t="str">
        <f t="array" ref="B86:B102">B2:B18</f>
        <v>1.a. Colocación, mantenimiento y transporte de los contenedores</v>
      </c>
      <c r="C86" s="92">
        <v>8.1208120812081203E-2</v>
      </c>
      <c r="D86" s="92">
        <v>0</v>
      </c>
      <c r="E86" s="92">
        <v>0</v>
      </c>
      <c r="F86" s="92">
        <v>0</v>
      </c>
    </row>
    <row r="87" spans="2:6" ht="30" x14ac:dyDescent="0.25">
      <c r="B87" s="3" t="str">
        <v>1.b. Fracción Orgánica+-restos. Recogida y Transporte a centros de tratamiento.</v>
      </c>
      <c r="C87" s="92">
        <v>0.72587258725872594</v>
      </c>
      <c r="D87" s="92">
        <v>0</v>
      </c>
      <c r="E87" s="92">
        <v>0.70194986072423393</v>
      </c>
      <c r="F87" s="92">
        <v>0.93110236220472442</v>
      </c>
    </row>
    <row r="88" spans="2:6" ht="30" x14ac:dyDescent="0.25">
      <c r="B88" s="3" t="str">
        <v>1.c. Fracción Envases. Recogida y Transporte a centros de tratamiento.</v>
      </c>
      <c r="C88" s="92">
        <v>4.7204720472047212E-2</v>
      </c>
      <c r="D88" s="92">
        <v>0</v>
      </c>
      <c r="E88" s="92">
        <v>6.7966573816155992E-2</v>
      </c>
      <c r="F88" s="92">
        <v>2.4606299212598427E-2</v>
      </c>
    </row>
    <row r="89" spans="2:6" ht="30" x14ac:dyDescent="0.25">
      <c r="B89" s="3" t="str">
        <v xml:space="preserve">2.a. Recogida y transporte a centros de transferencia de papel y cartón </v>
      </c>
      <c r="C89" s="92">
        <v>5.2805280528052813E-2</v>
      </c>
      <c r="D89" s="92">
        <v>0</v>
      </c>
      <c r="E89" s="92">
        <v>6.7966573816155992E-2</v>
      </c>
      <c r="F89" s="92">
        <v>2.4606299212598427E-2</v>
      </c>
    </row>
    <row r="90" spans="2:6" ht="30" x14ac:dyDescent="0.25">
      <c r="B90" s="3" t="str">
        <v>2.b. Recogida y transporte  a centros de transferencia de vidrio</v>
      </c>
      <c r="C90" s="92">
        <v>2.1302130213021304E-2</v>
      </c>
      <c r="D90" s="93">
        <v>7.1728893470112687E-2</v>
      </c>
      <c r="E90" s="92">
        <v>0</v>
      </c>
      <c r="F90" s="92">
        <v>0</v>
      </c>
    </row>
    <row r="91" spans="2:6" ht="30" x14ac:dyDescent="0.25">
      <c r="B91" s="3" t="str">
        <v>2.c. Recogida y transporte  a centros de transferencia de pilas usadas.</v>
      </c>
      <c r="C91" s="92">
        <v>2.0002000200020005E-4</v>
      </c>
      <c r="D91" s="93">
        <v>0</v>
      </c>
      <c r="E91" s="92">
        <v>0</v>
      </c>
      <c r="F91" s="92">
        <v>0</v>
      </c>
    </row>
    <row r="92" spans="2:6" ht="45" x14ac:dyDescent="0.25">
      <c r="B92" s="3" t="str">
        <v>2.d. Recogida y transporte a centros de transferencia de papel-cartón, vidrio y pilas en punto limpio</v>
      </c>
      <c r="C92" s="92">
        <v>1.3201320132013203E-2</v>
      </c>
      <c r="D92" s="93">
        <v>0</v>
      </c>
      <c r="E92" s="92">
        <v>0.14261838440111421</v>
      </c>
      <c r="F92" s="92">
        <v>9.8425196850393699E-3</v>
      </c>
    </row>
    <row r="93" spans="2:6" ht="45" x14ac:dyDescent="0.25">
      <c r="B93" s="3" t="str">
        <v>3.a. Recogida y transporte a centros de transferencia de muebles-enseres y vehículos fuera de uso</v>
      </c>
      <c r="C93" s="92">
        <v>5.8205820582058213E-2</v>
      </c>
      <c r="D93" s="93">
        <v>0</v>
      </c>
      <c r="E93" s="92">
        <v>1.9498607242339833E-2</v>
      </c>
      <c r="F93" s="92">
        <v>9.8425196850393699E-3</v>
      </c>
    </row>
    <row r="94" spans="2:6" x14ac:dyDescent="0.25">
      <c r="B94" s="3" t="str">
        <v xml:space="preserve">4.a. Tratamiento de orgánicos +Resto </v>
      </c>
      <c r="C94" s="92">
        <v>0</v>
      </c>
      <c r="D94" s="93">
        <v>0.92827110652988731</v>
      </c>
      <c r="E94" s="92">
        <v>0</v>
      </c>
      <c r="F94" s="92">
        <v>0</v>
      </c>
    </row>
    <row r="95" spans="2:6" x14ac:dyDescent="0.25">
      <c r="B95" s="3" t="str">
        <v>4.b. Tratamiento de Envases</v>
      </c>
      <c r="C95" s="92">
        <v>0</v>
      </c>
      <c r="D95" s="92">
        <v>0</v>
      </c>
      <c r="E95" s="92">
        <v>0</v>
      </c>
      <c r="F95" s="92">
        <v>0</v>
      </c>
    </row>
    <row r="96" spans="2:6" x14ac:dyDescent="0.25">
      <c r="B96" s="3" t="str">
        <v>4.c. Tratamiento de Vidrio</v>
      </c>
      <c r="C96" s="92">
        <v>0</v>
      </c>
      <c r="D96" s="92">
        <v>0</v>
      </c>
      <c r="E96" s="92">
        <v>0</v>
      </c>
      <c r="F96" s="92">
        <v>0</v>
      </c>
    </row>
    <row r="97" spans="2:6" x14ac:dyDescent="0.25">
      <c r="B97" s="3" t="str">
        <v>4.d. Tratamiento de Papel Cartón</v>
      </c>
      <c r="C97" s="92">
        <v>0</v>
      </c>
      <c r="D97" s="92">
        <v>0</v>
      </c>
      <c r="E97" s="92">
        <v>0</v>
      </c>
      <c r="F97" s="92">
        <v>0</v>
      </c>
    </row>
    <row r="98" spans="2:6" x14ac:dyDescent="0.25">
      <c r="B98" s="3" t="str">
        <v>4.e. Tratamiento de Pilas</v>
      </c>
      <c r="C98" s="92">
        <v>0</v>
      </c>
      <c r="D98" s="92">
        <v>0</v>
      </c>
      <c r="E98" s="92">
        <v>0</v>
      </c>
      <c r="F98" s="92">
        <v>0</v>
      </c>
    </row>
    <row r="99" spans="2:6" ht="30" x14ac:dyDescent="0.25">
      <c r="B99" s="3" t="str">
        <v>4.f. Tratamiento de Voluminosos-Enseres- Vehículos</v>
      </c>
      <c r="C99" s="92">
        <v>0</v>
      </c>
      <c r="D99" s="92">
        <v>0</v>
      </c>
      <c r="E99" s="92">
        <v>0</v>
      </c>
      <c r="F99" s="92">
        <v>0</v>
      </c>
    </row>
    <row r="100" spans="2:6" ht="30" x14ac:dyDescent="0.25">
      <c r="B100" s="3" t="str">
        <v>5.a Transferencia de materiales recuperados para reutilización-Reciclaje</v>
      </c>
      <c r="C100" s="92">
        <v>0</v>
      </c>
      <c r="D100" s="92">
        <v>0</v>
      </c>
      <c r="E100" s="92">
        <v>0</v>
      </c>
      <c r="F100" s="92">
        <v>0</v>
      </c>
    </row>
    <row r="101" spans="2:6" x14ac:dyDescent="0.25">
      <c r="B101" s="3" t="str">
        <v>5.b. Transferencia de energía generada</v>
      </c>
      <c r="C101" s="92">
        <v>0</v>
      </c>
      <c r="D101" s="92">
        <v>0</v>
      </c>
      <c r="E101" s="92">
        <v>0</v>
      </c>
      <c r="F101" s="92">
        <v>0</v>
      </c>
    </row>
    <row r="102" spans="2:6" x14ac:dyDescent="0.25">
      <c r="B102" s="3" t="str">
        <v>5.c. Eliminación-Depósito en vertedero</v>
      </c>
      <c r="C102" s="92">
        <v>0</v>
      </c>
      <c r="D102" s="92">
        <v>0</v>
      </c>
      <c r="E102" s="92">
        <v>0</v>
      </c>
      <c r="F102" s="92">
        <v>0</v>
      </c>
    </row>
    <row r="103" spans="2:6" x14ac:dyDescent="0.25">
      <c r="B103" s="13" t="s">
        <v>24</v>
      </c>
      <c r="C103" s="58">
        <f>SUM(C86:C102)</f>
        <v>1</v>
      </c>
      <c r="D103" s="58">
        <f>SUM(D86:D102)</f>
        <v>1</v>
      </c>
      <c r="E103" s="58">
        <f>SUM(E86:E102)</f>
        <v>1</v>
      </c>
      <c r="F103" s="58">
        <f>SUM(F86:F102)</f>
        <v>0.99999999999999989</v>
      </c>
    </row>
    <row r="104" spans="2:6" x14ac:dyDescent="0.25"/>
    <row r="105" spans="2:6" x14ac:dyDescent="0.25">
      <c r="B105" s="126" t="s">
        <v>121</v>
      </c>
      <c r="C105" s="126"/>
      <c r="D105" s="126"/>
      <c r="E105" s="126"/>
      <c r="F105" s="126"/>
    </row>
    <row r="106" spans="2:6" x14ac:dyDescent="0.25"/>
    <row r="107" spans="2:6" x14ac:dyDescent="0.25"/>
    <row r="108" spans="2:6" ht="15.75" thickBot="1" x14ac:dyDescent="0.3"/>
    <row r="109" spans="2:6" ht="15.75" x14ac:dyDescent="0.25">
      <c r="B109" s="110" t="s">
        <v>122</v>
      </c>
      <c r="C109" s="111"/>
      <c r="D109" s="111"/>
      <c r="E109" s="111"/>
      <c r="F109" s="112"/>
    </row>
    <row r="110" spans="2:6" ht="15.75" x14ac:dyDescent="0.25">
      <c r="B110" s="104" t="s">
        <v>123</v>
      </c>
      <c r="C110" s="105"/>
      <c r="D110" s="105"/>
      <c r="E110" s="105"/>
      <c r="F110" s="106"/>
    </row>
    <row r="111" spans="2:6" ht="15.75" x14ac:dyDescent="0.25">
      <c r="B111" s="104" t="s">
        <v>124</v>
      </c>
      <c r="C111" s="105"/>
      <c r="D111" s="105"/>
      <c r="E111" s="105"/>
      <c r="F111" s="106"/>
    </row>
    <row r="112" spans="2:6" ht="15.75" x14ac:dyDescent="0.25">
      <c r="B112" s="104" t="s">
        <v>125</v>
      </c>
      <c r="C112" s="105"/>
      <c r="D112" s="105"/>
      <c r="E112" s="105"/>
      <c r="F112" s="106"/>
    </row>
    <row r="113" spans="2:6" ht="30.75" customHeight="1" x14ac:dyDescent="0.25">
      <c r="B113" s="104" t="s">
        <v>129</v>
      </c>
      <c r="C113" s="105"/>
      <c r="D113" s="105"/>
      <c r="E113" s="105"/>
      <c r="F113" s="106"/>
    </row>
    <row r="114" spans="2:6" ht="31.5" customHeight="1" x14ac:dyDescent="0.25">
      <c r="B114" s="104" t="s">
        <v>126</v>
      </c>
      <c r="C114" s="105"/>
      <c r="D114" s="105"/>
      <c r="E114" s="105"/>
      <c r="F114" s="106"/>
    </row>
    <row r="115" spans="2:6" ht="34.5" customHeight="1" x14ac:dyDescent="0.25">
      <c r="B115" s="104" t="s">
        <v>127</v>
      </c>
      <c r="C115" s="105"/>
      <c r="D115" s="105"/>
      <c r="E115" s="105"/>
      <c r="F115" s="106"/>
    </row>
    <row r="116" spans="2:6" ht="28.5" customHeight="1" thickBot="1" x14ac:dyDescent="0.3">
      <c r="B116" s="107" t="s">
        <v>128</v>
      </c>
      <c r="C116" s="108"/>
      <c r="D116" s="108"/>
      <c r="E116" s="108"/>
      <c r="F116" s="109"/>
    </row>
    <row r="117" spans="2:6" x14ac:dyDescent="0.25"/>
  </sheetData>
  <sheetProtection sheet="1" objects="1" scenarios="1"/>
  <mergeCells count="24">
    <mergeCell ref="B105:F105"/>
    <mergeCell ref="A40:I40"/>
    <mergeCell ref="C43:F43"/>
    <mergeCell ref="A45:A50"/>
    <mergeCell ref="B54:G54"/>
    <mergeCell ref="B65:D65"/>
    <mergeCell ref="A57:D57"/>
    <mergeCell ref="A2:A4"/>
    <mergeCell ref="A5:A8"/>
    <mergeCell ref="A10:A15"/>
    <mergeCell ref="A16:A18"/>
    <mergeCell ref="A31:A38"/>
    <mergeCell ref="A19:E19"/>
    <mergeCell ref="C29:H29"/>
    <mergeCell ref="C21:I21"/>
    <mergeCell ref="B27:J27"/>
    <mergeCell ref="B114:F114"/>
    <mergeCell ref="B115:F115"/>
    <mergeCell ref="B116:F116"/>
    <mergeCell ref="B109:F109"/>
    <mergeCell ref="B110:F110"/>
    <mergeCell ref="B111:F111"/>
    <mergeCell ref="B112:F112"/>
    <mergeCell ref="B113:F113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9"/>
  <sheetViews>
    <sheetView showGridLines="0" tabSelected="1" workbookViewId="0">
      <selection activeCell="A128" sqref="A128:F138"/>
    </sheetView>
  </sheetViews>
  <sheetFormatPr baseColWidth="10" defaultColWidth="0" defaultRowHeight="15" zeroHeight="1" x14ac:dyDescent="0.25"/>
  <cols>
    <col min="1" max="1" width="25.7109375" customWidth="1"/>
    <col min="2" max="2" width="71.140625" customWidth="1"/>
    <col min="3" max="3" width="17.42578125" bestFit="1" customWidth="1"/>
    <col min="4" max="4" width="13.28515625" bestFit="1" customWidth="1"/>
    <col min="5" max="5" width="14.7109375" bestFit="1" customWidth="1"/>
    <col min="6" max="6" width="12.5703125" bestFit="1" customWidth="1"/>
    <col min="7" max="7" width="12.42578125" bestFit="1" customWidth="1"/>
    <col min="8" max="8" width="11.85546875" customWidth="1"/>
    <col min="9" max="9" width="12.140625" customWidth="1"/>
    <col min="10" max="10" width="13.140625" bestFit="1" customWidth="1"/>
    <col min="11" max="13" width="12.140625" hidden="1" customWidth="1"/>
    <col min="14" max="16384" width="11.42578125" hidden="1"/>
  </cols>
  <sheetData>
    <row r="1" spans="1:8" x14ac:dyDescent="0.25">
      <c r="A1" s="103" t="s">
        <v>96</v>
      </c>
      <c r="B1" s="103"/>
      <c r="C1" s="103"/>
      <c r="D1" s="103"/>
      <c r="E1" s="103"/>
      <c r="F1" s="103"/>
      <c r="G1" s="103"/>
      <c r="H1" s="103"/>
    </row>
    <row r="2" spans="1:8" x14ac:dyDescent="0.25"/>
    <row r="3" spans="1:8" x14ac:dyDescent="0.25"/>
    <row r="4" spans="1:8" x14ac:dyDescent="0.25">
      <c r="C4" s="11"/>
      <c r="D4" s="11"/>
      <c r="E4" s="11"/>
      <c r="F4" s="11"/>
    </row>
    <row r="5" spans="1:8" ht="120" x14ac:dyDescent="0.25">
      <c r="B5" s="16" t="s">
        <v>35</v>
      </c>
      <c r="C5" s="3" t="str">
        <f t="array" ref="C5:F5">Enunciado!C85:F85</f>
        <v>Personal</v>
      </c>
      <c r="D5" s="3" t="str">
        <v>Contratas</v>
      </c>
      <c r="E5" s="3" t="str">
        <v>amortizaciones</v>
      </c>
      <c r="F5" s="3" t="str">
        <v>Combustibles, Seguros, Reparaciones mantenimientos  y similares</v>
      </c>
      <c r="G5" s="3" t="s">
        <v>58</v>
      </c>
    </row>
    <row r="6" spans="1:8" x14ac:dyDescent="0.25">
      <c r="B6" s="1" t="str">
        <f t="array" ref="B6:B22">Enunciado!B86:B102</f>
        <v>1.a. Colocación, mantenimiento y transporte de los contenedores</v>
      </c>
      <c r="C6" s="25">
        <f t="array" ref="C6:F22">Enunciado!C86:F102*TRANSPOSE(Enunciado!C59:C62)</f>
        <v>189416.72367236722</v>
      </c>
      <c r="D6" s="25">
        <v>0</v>
      </c>
      <c r="E6" s="25">
        <v>0</v>
      </c>
      <c r="F6" s="25">
        <v>0</v>
      </c>
      <c r="G6" s="25">
        <f t="shared" ref="G6:G23" si="0">SUM(C6:F6)</f>
        <v>189416.72367236722</v>
      </c>
    </row>
    <row r="7" spans="1:8" x14ac:dyDescent="0.25">
      <c r="B7" s="1" t="str">
        <v>1.b. Fracción Orgánica+-restos. Recogida y Transporte a centros de tratamiento.</v>
      </c>
      <c r="C7" s="25">
        <v>1693086.9216921693</v>
      </c>
      <c r="D7" s="25">
        <v>0</v>
      </c>
      <c r="E7" s="25">
        <v>125999.99999999999</v>
      </c>
      <c r="F7" s="25">
        <v>946000</v>
      </c>
      <c r="G7" s="25">
        <f t="shared" si="0"/>
        <v>2765086.9216921693</v>
      </c>
    </row>
    <row r="8" spans="1:8" x14ac:dyDescent="0.25">
      <c r="B8" s="1" t="str">
        <v>1.c. Fracción Envases. Recogida y Transporte a centros de tratamiento.</v>
      </c>
      <c r="C8" s="25">
        <v>110104.30243024304</v>
      </c>
      <c r="D8" s="25">
        <v>0</v>
      </c>
      <c r="E8" s="25">
        <v>12200</v>
      </c>
      <c r="F8" s="25">
        <v>25000</v>
      </c>
      <c r="G8" s="25">
        <f t="shared" si="0"/>
        <v>147304.30243024306</v>
      </c>
    </row>
    <row r="9" spans="1:8" x14ac:dyDescent="0.25">
      <c r="B9" s="1" t="str">
        <v xml:space="preserve">2.a. Recogida y transporte a centros de transferencia de papel y cartón </v>
      </c>
      <c r="C9" s="25">
        <v>123167.52475247526</v>
      </c>
      <c r="D9" s="25">
        <v>0</v>
      </c>
      <c r="E9" s="25">
        <v>12200</v>
      </c>
      <c r="F9" s="25">
        <v>25000</v>
      </c>
      <c r="G9" s="25">
        <f t="shared" si="0"/>
        <v>160367.52475247526</v>
      </c>
    </row>
    <row r="10" spans="1:8" x14ac:dyDescent="0.25">
      <c r="B10" s="1" t="str">
        <v>2.b. Recogida y transporte  a centros de transferencia de vidrio</v>
      </c>
      <c r="C10" s="25">
        <v>49686.899189919</v>
      </c>
      <c r="D10" s="61">
        <v>62559</v>
      </c>
      <c r="E10" s="61">
        <v>0</v>
      </c>
      <c r="F10" s="61">
        <v>0</v>
      </c>
      <c r="G10" s="61">
        <f t="shared" si="0"/>
        <v>112245.899189919</v>
      </c>
    </row>
    <row r="11" spans="1:8" x14ac:dyDescent="0.25">
      <c r="B11" s="1" t="str">
        <v>2.c. Recogida y transporte  a centros de transferencia de pilas usadas.</v>
      </c>
      <c r="C11" s="25">
        <v>466.54365436543662</v>
      </c>
      <c r="D11" s="61">
        <v>0</v>
      </c>
      <c r="E11" s="61">
        <v>0</v>
      </c>
      <c r="F11" s="61">
        <v>0</v>
      </c>
      <c r="G11" s="61">
        <f t="shared" si="0"/>
        <v>466.54365436543662</v>
      </c>
    </row>
    <row r="12" spans="1:8" x14ac:dyDescent="0.25">
      <c r="B12" s="1" t="str">
        <v>2.d. Recogida y transporte a centros de transferencia de papel-cartón, vidrio y pilas en punto limpio</v>
      </c>
      <c r="C12" s="25">
        <v>30791.881188118816</v>
      </c>
      <c r="D12" s="61">
        <v>0</v>
      </c>
      <c r="E12" s="61">
        <v>25600</v>
      </c>
      <c r="F12" s="61">
        <v>10000</v>
      </c>
      <c r="G12" s="61">
        <f t="shared" si="0"/>
        <v>66391.881188118816</v>
      </c>
    </row>
    <row r="13" spans="1:8" x14ac:dyDescent="0.25">
      <c r="B13" s="1" t="str">
        <v>3.a. Recogida y transporte a centros de transferencia de muebles-enseres y vehículos fuera de uso</v>
      </c>
      <c r="C13" s="25">
        <v>135764.20342034206</v>
      </c>
      <c r="D13" s="61">
        <v>0</v>
      </c>
      <c r="E13" s="61">
        <v>3500</v>
      </c>
      <c r="F13" s="61">
        <v>10000</v>
      </c>
      <c r="G13" s="61">
        <f t="shared" si="0"/>
        <v>149264.20342034206</v>
      </c>
    </row>
    <row r="14" spans="1:8" x14ac:dyDescent="0.25">
      <c r="B14" s="1" t="str">
        <v xml:space="preserve">4.a. Tratamiento de orgánicos +Resto </v>
      </c>
      <c r="C14" s="25">
        <v>0</v>
      </c>
      <c r="D14" s="61">
        <v>809599.99999999988</v>
      </c>
      <c r="E14" s="61">
        <v>0</v>
      </c>
      <c r="F14" s="61">
        <v>0</v>
      </c>
      <c r="G14" s="61">
        <f t="shared" si="0"/>
        <v>809599.99999999988</v>
      </c>
    </row>
    <row r="15" spans="1:8" x14ac:dyDescent="0.25">
      <c r="B15" s="1" t="str">
        <v>4.b. Tratamiento de Envases</v>
      </c>
      <c r="C15" s="25">
        <v>0</v>
      </c>
      <c r="D15" s="25">
        <v>0</v>
      </c>
      <c r="E15" s="25">
        <v>0</v>
      </c>
      <c r="F15" s="25">
        <v>0</v>
      </c>
      <c r="G15" s="25">
        <f t="shared" si="0"/>
        <v>0</v>
      </c>
    </row>
    <row r="16" spans="1:8" x14ac:dyDescent="0.25">
      <c r="B16" s="1" t="str">
        <v>4.c. Tratamiento de Vidrio</v>
      </c>
      <c r="C16" s="25">
        <v>0</v>
      </c>
      <c r="D16" s="25">
        <v>0</v>
      </c>
      <c r="E16" s="25">
        <v>0</v>
      </c>
      <c r="F16" s="25">
        <v>0</v>
      </c>
      <c r="G16" s="25">
        <f t="shared" si="0"/>
        <v>0</v>
      </c>
    </row>
    <row r="17" spans="1:8" x14ac:dyDescent="0.25">
      <c r="B17" s="1" t="str">
        <v>4.d. Tratamiento de Papel Cartón</v>
      </c>
      <c r="C17" s="25">
        <v>0</v>
      </c>
      <c r="D17" s="25">
        <v>0</v>
      </c>
      <c r="E17" s="25">
        <v>0</v>
      </c>
      <c r="F17" s="25">
        <v>0</v>
      </c>
      <c r="G17" s="25">
        <f t="shared" si="0"/>
        <v>0</v>
      </c>
    </row>
    <row r="18" spans="1:8" x14ac:dyDescent="0.25">
      <c r="B18" s="1" t="str">
        <v>4.e. Tratamiento de Pilas</v>
      </c>
      <c r="C18" s="25">
        <v>0</v>
      </c>
      <c r="D18" s="25">
        <v>0</v>
      </c>
      <c r="E18" s="25">
        <v>0</v>
      </c>
      <c r="F18" s="25">
        <v>0</v>
      </c>
      <c r="G18" s="25">
        <f t="shared" si="0"/>
        <v>0</v>
      </c>
    </row>
    <row r="19" spans="1:8" x14ac:dyDescent="0.25">
      <c r="B19" s="1" t="str">
        <v>4.f. Tratamiento de Voluminosos-Enseres- Vehículos</v>
      </c>
      <c r="C19" s="25">
        <v>0</v>
      </c>
      <c r="D19" s="25">
        <v>0</v>
      </c>
      <c r="E19" s="25">
        <v>0</v>
      </c>
      <c r="F19" s="25">
        <v>0</v>
      </c>
      <c r="G19" s="25">
        <f t="shared" si="0"/>
        <v>0</v>
      </c>
    </row>
    <row r="20" spans="1:8" x14ac:dyDescent="0.25">
      <c r="B20" s="1" t="str">
        <v>5.a Transferencia de materiales recuperados para reutilización-Reciclaje</v>
      </c>
      <c r="C20" s="25">
        <v>0</v>
      </c>
      <c r="D20" s="25">
        <v>0</v>
      </c>
      <c r="E20" s="25">
        <v>0</v>
      </c>
      <c r="F20" s="25">
        <v>0</v>
      </c>
      <c r="G20" s="25">
        <f t="shared" si="0"/>
        <v>0</v>
      </c>
    </row>
    <row r="21" spans="1:8" x14ac:dyDescent="0.25">
      <c r="B21" s="1" t="str">
        <v>5.b. Transferencia de energía generada</v>
      </c>
      <c r="C21" s="25">
        <v>0</v>
      </c>
      <c r="D21" s="25">
        <v>0</v>
      </c>
      <c r="E21" s="25">
        <v>0</v>
      </c>
      <c r="F21" s="25">
        <v>0</v>
      </c>
      <c r="G21" s="25">
        <f t="shared" si="0"/>
        <v>0</v>
      </c>
    </row>
    <row r="22" spans="1:8" x14ac:dyDescent="0.25">
      <c r="B22" s="1" t="str">
        <v>5.c. Eliminación-Depósito en vertedero</v>
      </c>
      <c r="C22" s="25">
        <v>0</v>
      </c>
      <c r="D22" s="25">
        <v>0</v>
      </c>
      <c r="E22" s="25">
        <v>0</v>
      </c>
      <c r="F22" s="25">
        <v>0</v>
      </c>
      <c r="G22" s="25">
        <f t="shared" si="0"/>
        <v>0</v>
      </c>
    </row>
    <row r="23" spans="1:8" x14ac:dyDescent="0.25">
      <c r="B23" s="13" t="s">
        <v>24</v>
      </c>
      <c r="C23" s="26">
        <f>SUM(C6:C22)</f>
        <v>2332485</v>
      </c>
      <c r="D23" s="26">
        <f>SUM(D6:D22)</f>
        <v>872158.99999999988</v>
      </c>
      <c r="E23" s="26">
        <f>SUM(E6:E22)</f>
        <v>179500</v>
      </c>
      <c r="F23" s="26">
        <f>SUM(F6:F22)</f>
        <v>1016000</v>
      </c>
      <c r="G23" s="26">
        <f t="shared" si="0"/>
        <v>4400144</v>
      </c>
      <c r="H23" s="39" t="str">
        <f>IF(SUM(C23:F23)=SUM(G6:G22),"","NO COINDIDE SUMA FILAS Y COLUMNAS")</f>
        <v/>
      </c>
    </row>
    <row r="24" spans="1:8" x14ac:dyDescent="0.25"/>
    <row r="25" spans="1:8" x14ac:dyDescent="0.25">
      <c r="B25" s="126" t="s">
        <v>97</v>
      </c>
      <c r="C25" s="126"/>
      <c r="D25" s="126"/>
      <c r="E25" s="126"/>
      <c r="F25" s="126"/>
      <c r="G25" s="126"/>
    </row>
    <row r="26" spans="1:8" x14ac:dyDescent="0.25"/>
    <row r="27" spans="1:8" x14ac:dyDescent="0.25">
      <c r="B27" s="59" t="s">
        <v>98</v>
      </c>
      <c r="C27" s="59"/>
      <c r="D27" s="59"/>
      <c r="E27" s="59"/>
      <c r="F27" s="59"/>
      <c r="G27" s="59"/>
    </row>
    <row r="28" spans="1:8" x14ac:dyDescent="0.25">
      <c r="B28" s="59" t="s">
        <v>130</v>
      </c>
      <c r="C28" s="59"/>
      <c r="D28" s="59"/>
      <c r="E28" s="59"/>
      <c r="F28" s="59"/>
      <c r="G28" s="59"/>
    </row>
    <row r="29" spans="1:8" x14ac:dyDescent="0.25"/>
    <row r="30" spans="1:8" x14ac:dyDescent="0.25">
      <c r="A30" s="103" t="s">
        <v>100</v>
      </c>
      <c r="B30" s="103"/>
      <c r="C30" s="103"/>
      <c r="D30" s="103"/>
      <c r="E30" s="103"/>
      <c r="F30" s="103"/>
      <c r="G30" s="103"/>
      <c r="H30" s="103"/>
    </row>
    <row r="31" spans="1:8" x14ac:dyDescent="0.25"/>
    <row r="32" spans="1:8" x14ac:dyDescent="0.25"/>
    <row r="33" spans="2:6" ht="120" x14ac:dyDescent="0.25">
      <c r="B33" s="16" t="str">
        <f t="array" ref="B33:B51">B5:B23</f>
        <v xml:space="preserve">                                                                                                                   Recursos
Actividades</v>
      </c>
      <c r="C33" s="47" t="str">
        <f t="array" ref="C33:C51">G5:G23</f>
        <v>Coste Total actividad</v>
      </c>
      <c r="D33" s="47" t="str">
        <f t="array" ref="D33:E51">Enunciado!D1:E18</f>
        <v>Cost Driver</v>
      </c>
      <c r="E33" s="47" t="str">
        <v>Uds Cost Driver</v>
      </c>
      <c r="F33" s="47" t="s">
        <v>57</v>
      </c>
    </row>
    <row r="34" spans="2:6" x14ac:dyDescent="0.25">
      <c r="B34" s="1" t="str">
        <v>1.a. Colocación, mantenimiento y transporte de los contenedores</v>
      </c>
      <c r="C34" s="25">
        <v>189416.72367236722</v>
      </c>
      <c r="D34" s="1" t="str">
        <v>Tm RSD</v>
      </c>
      <c r="E34" s="46">
        <v>40900</v>
      </c>
      <c r="F34" s="46">
        <f>C34/E34</f>
        <v>4.63121573771069</v>
      </c>
    </row>
    <row r="35" spans="2:6" x14ac:dyDescent="0.25">
      <c r="B35" s="1" t="str">
        <v>1.b. Fracción Orgánica+-restos. Recogida y Transporte a centros de tratamiento.</v>
      </c>
      <c r="C35" s="25">
        <v>2765086.9216921693</v>
      </c>
      <c r="D35" s="1" t="str">
        <v>Tm Recogidas</v>
      </c>
      <c r="E35" s="46">
        <v>40000</v>
      </c>
      <c r="F35" s="46">
        <f t="shared" ref="F35:F49" si="1">C35/E35</f>
        <v>69.127173042304236</v>
      </c>
    </row>
    <row r="36" spans="2:6" x14ac:dyDescent="0.25">
      <c r="B36" s="1" t="str">
        <v>1.c. Fracción Envases. Recogida y Transporte a centros de tratamiento.</v>
      </c>
      <c r="C36" s="25">
        <v>147304.30243024306</v>
      </c>
      <c r="D36" s="1" t="str">
        <v>Tm Recogidas</v>
      </c>
      <c r="E36" s="46">
        <v>900</v>
      </c>
      <c r="F36" s="46">
        <f t="shared" si="1"/>
        <v>163.67144714471451</v>
      </c>
    </row>
    <row r="37" spans="2:6" x14ac:dyDescent="0.25">
      <c r="B37" s="1" t="str">
        <v xml:space="preserve">2.a. Recogida y transporte a centros de transferencia de papel y cartón </v>
      </c>
      <c r="C37" s="25">
        <v>160367.52475247526</v>
      </c>
      <c r="D37" s="1" t="str">
        <v>Tm Recogidas</v>
      </c>
      <c r="E37" s="46">
        <v>3500</v>
      </c>
      <c r="F37" s="46">
        <f t="shared" si="1"/>
        <v>45.819292786421506</v>
      </c>
    </row>
    <row r="38" spans="2:6" x14ac:dyDescent="0.25">
      <c r="B38" s="1" t="str">
        <v>2.b. Recogida y transporte  a centros de transferencia de vidrio</v>
      </c>
      <c r="C38" s="61">
        <v>112245.899189919</v>
      </c>
      <c r="D38" s="1" t="str">
        <v>Tm Recogidas</v>
      </c>
      <c r="E38" s="46">
        <v>600</v>
      </c>
      <c r="F38" s="46">
        <f t="shared" si="1"/>
        <v>187.07649864986499</v>
      </c>
    </row>
    <row r="39" spans="2:6" x14ac:dyDescent="0.25">
      <c r="B39" s="1" t="str">
        <v>2.c. Recogida y transporte  a centros de transferencia de pilas usadas.</v>
      </c>
      <c r="C39" s="61">
        <v>466.54365436543662</v>
      </c>
      <c r="D39" s="1" t="str">
        <v>Tm Recogidas</v>
      </c>
      <c r="E39" s="46">
        <v>6</v>
      </c>
      <c r="F39" s="46">
        <f t="shared" si="1"/>
        <v>77.757275727572775</v>
      </c>
    </row>
    <row r="40" spans="2:6" x14ac:dyDescent="0.25">
      <c r="B40" s="1" t="str">
        <v>2.d. Recogida y transporte a centros de transferencia de papel-cartón, vidrio y pilas en punto limpio</v>
      </c>
      <c r="C40" s="61">
        <v>66391.881188118816</v>
      </c>
      <c r="D40" s="1" t="str">
        <v>Tm Recogidas</v>
      </c>
      <c r="E40" s="46">
        <v>225</v>
      </c>
      <c r="F40" s="46">
        <f t="shared" si="1"/>
        <v>295.07502750275029</v>
      </c>
    </row>
    <row r="41" spans="2:6" x14ac:dyDescent="0.25">
      <c r="B41" s="1" t="str">
        <v>3.a. Recogida y transporte a centros de transferencia de muebles-enseres y vehículos fuera de uso</v>
      </c>
      <c r="C41" s="61">
        <v>149264.20342034206</v>
      </c>
      <c r="D41" s="1" t="str">
        <v>Tm Recogidas</v>
      </c>
      <c r="E41" s="46">
        <v>400</v>
      </c>
      <c r="F41" s="46">
        <f t="shared" si="1"/>
        <v>373.16050855085518</v>
      </c>
    </row>
    <row r="42" spans="2:6" x14ac:dyDescent="0.25">
      <c r="B42" s="1" t="str">
        <v xml:space="preserve">4.a. Tratamiento de orgánicos +Resto </v>
      </c>
      <c r="C42" s="61">
        <v>809599.99999999988</v>
      </c>
      <c r="D42" s="1" t="str">
        <v>Tm Tratadas</v>
      </c>
      <c r="E42" s="46">
        <v>40000</v>
      </c>
      <c r="F42" s="46">
        <f t="shared" si="1"/>
        <v>20.239999999999998</v>
      </c>
    </row>
    <row r="43" spans="2:6" x14ac:dyDescent="0.25">
      <c r="B43" s="1" t="str">
        <v>4.b. Tratamiento de Envases</v>
      </c>
      <c r="C43" s="25">
        <v>0</v>
      </c>
      <c r="D43" s="1" t="str">
        <v>Tm Tratadas</v>
      </c>
      <c r="E43" s="46">
        <v>900</v>
      </c>
      <c r="F43" s="46">
        <f t="shared" si="1"/>
        <v>0</v>
      </c>
    </row>
    <row r="44" spans="2:6" x14ac:dyDescent="0.25">
      <c r="B44" s="1" t="str">
        <v>4.c. Tratamiento de Vidrio</v>
      </c>
      <c r="C44" s="25">
        <v>0</v>
      </c>
      <c r="D44" s="1" t="str">
        <v>Tm Tratadas</v>
      </c>
      <c r="E44" s="46">
        <v>3574.25</v>
      </c>
      <c r="F44" s="46">
        <f t="shared" si="1"/>
        <v>0</v>
      </c>
    </row>
    <row r="45" spans="2:6" x14ac:dyDescent="0.25">
      <c r="B45" s="1" t="str">
        <v>4.d. Tratamiento de Papel Cartón</v>
      </c>
      <c r="C45" s="25">
        <v>0</v>
      </c>
      <c r="D45" s="1" t="str">
        <v>Tm Tratadas</v>
      </c>
      <c r="E45" s="46">
        <v>744</v>
      </c>
      <c r="F45" s="46">
        <f t="shared" si="1"/>
        <v>0</v>
      </c>
    </row>
    <row r="46" spans="2:6" x14ac:dyDescent="0.25">
      <c r="B46" s="1" t="str">
        <v>4.e. Tratamiento de Pilas</v>
      </c>
      <c r="C46" s="25">
        <v>0</v>
      </c>
      <c r="D46" s="1" t="str">
        <v>Tm Tratadas</v>
      </c>
      <c r="E46" s="46">
        <v>12.75</v>
      </c>
      <c r="F46" s="46">
        <f t="shared" si="1"/>
        <v>0</v>
      </c>
    </row>
    <row r="47" spans="2:6" x14ac:dyDescent="0.25">
      <c r="B47" s="1" t="str">
        <v>4.f. Tratamiento de Voluminosos-Enseres- Vehículos</v>
      </c>
      <c r="C47" s="25">
        <v>0</v>
      </c>
      <c r="D47" s="1" t="str">
        <v>Tm Tratadas</v>
      </c>
      <c r="E47" s="46">
        <v>400</v>
      </c>
      <c r="F47" s="46">
        <f t="shared" si="1"/>
        <v>0</v>
      </c>
    </row>
    <row r="48" spans="2:6" ht="15" customHeight="1" x14ac:dyDescent="0.25">
      <c r="B48" s="1" t="str">
        <v>5.a Transferencia de materiales recuperados para reutilización-Reciclaje</v>
      </c>
      <c r="C48" s="25">
        <v>0</v>
      </c>
      <c r="D48" s="1" t="str">
        <v>Tm Transferidas</v>
      </c>
      <c r="E48" s="46">
        <v>20404.817500000001</v>
      </c>
      <c r="F48" s="46">
        <f t="shared" si="1"/>
        <v>0</v>
      </c>
    </row>
    <row r="49" spans="1:10" x14ac:dyDescent="0.25">
      <c r="B49" s="1" t="str">
        <v>5.b. Transferencia de energía generada</v>
      </c>
      <c r="C49" s="25">
        <v>0</v>
      </c>
      <c r="D49" s="1" t="str">
        <v>Kw transferidos</v>
      </c>
      <c r="E49" s="46">
        <v>8000</v>
      </c>
      <c r="F49" s="46">
        <f t="shared" si="1"/>
        <v>0</v>
      </c>
    </row>
    <row r="50" spans="1:10" x14ac:dyDescent="0.25">
      <c r="B50" s="1" t="str">
        <v>5.c. Eliminación-Depósito en vertedero</v>
      </c>
      <c r="C50" s="25">
        <v>0</v>
      </c>
      <c r="D50" s="1" t="str">
        <v>Tm Transferidas</v>
      </c>
      <c r="E50" s="46">
        <v>17226.182499999999</v>
      </c>
      <c r="F50" s="46">
        <f>C50/E50</f>
        <v>0</v>
      </c>
    </row>
    <row r="51" spans="1:10" ht="29.25" x14ac:dyDescent="0.25">
      <c r="B51" s="13" t="str">
        <v>Suma</v>
      </c>
      <c r="C51" s="26">
        <v>4400144</v>
      </c>
      <c r="D51" s="50" t="e">
        <v>#N/A</v>
      </c>
      <c r="E51" s="50" t="e">
        <v>#N/A</v>
      </c>
    </row>
    <row r="52" spans="1:10" x14ac:dyDescent="0.25"/>
    <row r="53" spans="1:10" x14ac:dyDescent="0.25">
      <c r="B53" s="126" t="s">
        <v>99</v>
      </c>
      <c r="C53" s="126"/>
      <c r="D53" s="126"/>
      <c r="E53" s="126"/>
      <c r="F53" s="126"/>
    </row>
    <row r="54" spans="1:10" x14ac:dyDescent="0.25"/>
    <row r="55" spans="1:10" ht="15" customHeight="1" x14ac:dyDescent="0.25">
      <c r="B55" s="59" t="s">
        <v>98</v>
      </c>
      <c r="C55" s="59"/>
      <c r="D55" s="59"/>
      <c r="E55" s="59"/>
      <c r="F55" s="59"/>
      <c r="G55" s="59"/>
    </row>
    <row r="56" spans="1:10" ht="30" x14ac:dyDescent="0.25">
      <c r="B56" s="60" t="s">
        <v>102</v>
      </c>
      <c r="C56" s="59"/>
      <c r="D56" s="59"/>
      <c r="E56" s="59"/>
      <c r="F56" s="59"/>
      <c r="G56" s="59"/>
    </row>
    <row r="57" spans="1:10" x14ac:dyDescent="0.25"/>
    <row r="58" spans="1:10" x14ac:dyDescent="0.25">
      <c r="A58" s="103" t="s">
        <v>101</v>
      </c>
      <c r="B58" s="103"/>
      <c r="C58" s="103"/>
      <c r="D58" s="103"/>
      <c r="E58" s="103"/>
      <c r="F58" s="103"/>
      <c r="G58" s="103"/>
      <c r="H58" s="103"/>
    </row>
    <row r="59" spans="1:10" x14ac:dyDescent="0.25">
      <c r="A59" s="40"/>
    </row>
    <row r="60" spans="1:10" x14ac:dyDescent="0.25">
      <c r="A60" s="40"/>
    </row>
    <row r="61" spans="1:10" x14ac:dyDescent="0.25">
      <c r="D61" s="62"/>
      <c r="E61" s="63"/>
      <c r="F61" s="63"/>
      <c r="G61" s="63"/>
      <c r="H61" s="63"/>
      <c r="I61" s="63"/>
      <c r="J61" s="64"/>
    </row>
    <row r="62" spans="1:10" ht="172.5" x14ac:dyDescent="0.25">
      <c r="A62" s="40"/>
      <c r="C62" s="54" t="str">
        <f t="array" ref="C62:J62">Enunciado!C22:J22</f>
        <v>1.b. Fracción Orgánica+-restos. Recogida y Transporte a centros de tratamiento.</v>
      </c>
      <c r="D62" s="54" t="str">
        <v>1.c. Fracción Envases. Recogida y Transporte a centros de tratamiento.</v>
      </c>
      <c r="E62" s="54" t="str">
        <v xml:space="preserve">2.a. Recogida y transporte a centros de transferencia de papel y cartón </v>
      </c>
      <c r="F62" s="54" t="str">
        <v>2.b. Recogida y transporte  a centros de transferencia de vidrio</v>
      </c>
      <c r="G62" s="54" t="str">
        <v>2.c. Recogida y transporte  a centros de transferencia de pilas usadas.</v>
      </c>
      <c r="H62" s="54" t="str">
        <v>2.d. Recogida y transporte a centros de transferencia de papel-cartón, vidrio y pilas en punto limpio</v>
      </c>
      <c r="I62" s="54" t="str">
        <v>3.a. Recogida y transporte a centros de transferencia de muebles-enseres y vehículos fuera de uso</v>
      </c>
      <c r="J62" s="55" t="str">
        <v>Cose Acumulado N0</v>
      </c>
    </row>
    <row r="63" spans="1:10" x14ac:dyDescent="0.25">
      <c r="A63" s="42" t="str">
        <f t="array" ref="A63:B63">Enunciado!A23:B23</f>
        <v>N0</v>
      </c>
      <c r="B63" s="3" t="str">
        <v>1.a. Colocación, mantenimiento y transporte de los contenedores</v>
      </c>
      <c r="C63" s="65">
        <f t="array" ref="C63:J63">Enunciado!C23:J23*Enunciado!K23</f>
        <v>174263.38577857785</v>
      </c>
      <c r="D63" s="65">
        <v>15153.337893789378</v>
      </c>
      <c r="E63" s="65">
        <v>0</v>
      </c>
      <c r="F63" s="65">
        <v>0</v>
      </c>
      <c r="G63" s="65">
        <v>0</v>
      </c>
      <c r="H63" s="65">
        <v>0</v>
      </c>
      <c r="I63" s="65">
        <v>0</v>
      </c>
      <c r="J63" s="26">
        <v>189416.72367236722</v>
      </c>
    </row>
    <row r="64" spans="1:10" x14ac:dyDescent="0.25">
      <c r="A64" s="40"/>
    </row>
    <row r="65" spans="1:10" x14ac:dyDescent="0.25">
      <c r="A65" s="40"/>
      <c r="B65" s="126" t="s">
        <v>103</v>
      </c>
      <c r="C65" s="126"/>
      <c r="D65" s="126"/>
      <c r="E65" s="126"/>
      <c r="F65" s="126"/>
      <c r="G65" s="126"/>
      <c r="H65" s="126"/>
      <c r="I65" s="126"/>
      <c r="J65" s="126"/>
    </row>
    <row r="66" spans="1:10" x14ac:dyDescent="0.25">
      <c r="C66" s="11"/>
    </row>
    <row r="67" spans="1:10" x14ac:dyDescent="0.25">
      <c r="B67" s="59" t="s">
        <v>98</v>
      </c>
      <c r="C67" s="59"/>
      <c r="D67" s="59"/>
      <c r="E67" s="59"/>
      <c r="F67" s="59"/>
      <c r="G67" s="59"/>
    </row>
    <row r="68" spans="1:10" ht="30" x14ac:dyDescent="0.25">
      <c r="B68" s="60" t="s">
        <v>131</v>
      </c>
      <c r="C68" s="59"/>
      <c r="D68" s="59"/>
      <c r="E68" s="59"/>
      <c r="F68" s="59"/>
      <c r="G68" s="59"/>
    </row>
    <row r="69" spans="1:10" x14ac:dyDescent="0.25"/>
    <row r="70" spans="1:10" x14ac:dyDescent="0.25"/>
    <row r="71" spans="1:10" x14ac:dyDescent="0.25"/>
    <row r="72" spans="1:10" x14ac:dyDescent="0.25"/>
    <row r="73" spans="1:10" ht="30" x14ac:dyDescent="0.25">
      <c r="B73" s="10" t="s">
        <v>41</v>
      </c>
      <c r="C73" s="3" t="s">
        <v>38</v>
      </c>
      <c r="D73" s="3" t="s">
        <v>37</v>
      </c>
      <c r="E73" s="3" t="s">
        <v>39</v>
      </c>
      <c r="F73" s="3" t="str">
        <f t="array" ref="F73:G73">Enunciado!$D$1:$E$1</f>
        <v>Cost Driver</v>
      </c>
      <c r="G73" s="3" t="str">
        <v>Uds Cost Driver</v>
      </c>
      <c r="H73" s="3" t="s">
        <v>57</v>
      </c>
      <c r="I73" s="15"/>
    </row>
    <row r="74" spans="1:10" ht="30" x14ac:dyDescent="0.25">
      <c r="A74" s="43"/>
      <c r="B74" s="3" t="str">
        <f t="array" ref="B74:B80">TRANSPOSE(Enunciado!C22:I22)</f>
        <v>1.b. Fracción Orgánica+-restos. Recogida y Transporte a centros de tratamiento.</v>
      </c>
      <c r="C74" s="27">
        <f t="array" ref="C74:C80">G7:G13</f>
        <v>2765086.9216921693</v>
      </c>
      <c r="D74" s="28">
        <f t="array" ref="D74:D80">TRANSPOSE(C63:I63)</f>
        <v>174263.38577857785</v>
      </c>
      <c r="E74" s="28">
        <f>C74+D74</f>
        <v>2939350.3074707473</v>
      </c>
      <c r="F74" s="28" t="str">
        <f>VLOOKUP($B74,Enunciado!$B$1:$E$18,3,FALSE)</f>
        <v>Tm Recogidas</v>
      </c>
      <c r="G74" s="28">
        <f>VLOOKUP($B74,Enunciado!$B$1:$E$18,4,FALSE)</f>
        <v>40000</v>
      </c>
      <c r="H74" s="28">
        <f>E74/G74</f>
        <v>73.483757686768683</v>
      </c>
    </row>
    <row r="75" spans="1:10" x14ac:dyDescent="0.25">
      <c r="A75" s="43"/>
      <c r="B75" s="3" t="str">
        <v>1.c. Fracción Envases. Recogida y Transporte a centros de tratamiento.</v>
      </c>
      <c r="C75" s="27">
        <v>147304.30243024306</v>
      </c>
      <c r="D75" s="28">
        <v>15153.337893789378</v>
      </c>
      <c r="E75" s="28">
        <f t="shared" ref="E75:E81" si="2">C75+D75</f>
        <v>162457.64032403243</v>
      </c>
      <c r="F75" s="28" t="str">
        <f>VLOOKUP($B75,Enunciado!$B$1:$E$18,3,FALSE)</f>
        <v>Tm Recogidas</v>
      </c>
      <c r="G75" s="28">
        <f>VLOOKUP($B75,Enunciado!$B$1:$E$18,4,FALSE)</f>
        <v>900</v>
      </c>
      <c r="H75" s="28">
        <f t="shared" ref="H75:H80" si="3">E75/G75</f>
        <v>180.50848924892492</v>
      </c>
    </row>
    <row r="76" spans="1:10" x14ac:dyDescent="0.25">
      <c r="A76" s="43"/>
      <c r="B76" s="3" t="str">
        <v xml:space="preserve">2.a. Recogida y transporte a centros de transferencia de papel y cartón </v>
      </c>
      <c r="C76" s="27">
        <v>160367.52475247526</v>
      </c>
      <c r="D76" s="28">
        <v>0</v>
      </c>
      <c r="E76" s="28">
        <f t="shared" si="2"/>
        <v>160367.52475247526</v>
      </c>
      <c r="F76" s="28" t="str">
        <f>VLOOKUP($B76,Enunciado!$B$1:$E$18,3,FALSE)</f>
        <v>Tm Recogidas</v>
      </c>
      <c r="G76" s="28">
        <f>VLOOKUP($B76,Enunciado!$B$1:$E$18,4,FALSE)</f>
        <v>3500</v>
      </c>
      <c r="H76" s="28">
        <f t="shared" si="3"/>
        <v>45.819292786421506</v>
      </c>
    </row>
    <row r="77" spans="1:10" x14ac:dyDescent="0.25">
      <c r="A77" s="43"/>
      <c r="B77" s="3" t="str">
        <v>2.b. Recogida y transporte  a centros de transferencia de vidrio</v>
      </c>
      <c r="C77" s="27">
        <v>112245.899189919</v>
      </c>
      <c r="D77" s="28">
        <v>0</v>
      </c>
      <c r="E77" s="28">
        <f t="shared" si="2"/>
        <v>112245.899189919</v>
      </c>
      <c r="F77" s="28" t="str">
        <f>VLOOKUP($B77,Enunciado!$B$1:$E$18,3,FALSE)</f>
        <v>Tm Recogidas</v>
      </c>
      <c r="G77" s="28">
        <f>VLOOKUP($B77,Enunciado!$B$1:$E$18,4,FALSE)</f>
        <v>600</v>
      </c>
      <c r="H77" s="28">
        <f t="shared" si="3"/>
        <v>187.07649864986499</v>
      </c>
    </row>
    <row r="78" spans="1:10" ht="30" x14ac:dyDescent="0.25">
      <c r="A78" s="43"/>
      <c r="B78" s="3" t="str">
        <v>2.c. Recogida y transporte  a centros de transferencia de pilas usadas.</v>
      </c>
      <c r="C78" s="27">
        <v>466.54365436543662</v>
      </c>
      <c r="D78" s="28">
        <v>0</v>
      </c>
      <c r="E78" s="28">
        <f t="shared" si="2"/>
        <v>466.54365436543662</v>
      </c>
      <c r="F78" s="28" t="str">
        <f>VLOOKUP($B78,Enunciado!$B$1:$E$18,3,FALSE)</f>
        <v>Tm Recogidas</v>
      </c>
      <c r="G78" s="28">
        <f>VLOOKUP($B78,Enunciado!$B$1:$E$18,4,FALSE)</f>
        <v>6</v>
      </c>
      <c r="H78" s="28">
        <f t="shared" si="3"/>
        <v>77.757275727572775</v>
      </c>
    </row>
    <row r="79" spans="1:10" ht="30" x14ac:dyDescent="0.25">
      <c r="A79" s="43"/>
      <c r="B79" s="3" t="str">
        <v>2.d. Recogida y transporte a centros de transferencia de papel-cartón, vidrio y pilas en punto limpio</v>
      </c>
      <c r="C79" s="27">
        <v>66391.881188118816</v>
      </c>
      <c r="D79" s="28">
        <v>0</v>
      </c>
      <c r="E79" s="28">
        <f t="shared" si="2"/>
        <v>66391.881188118816</v>
      </c>
      <c r="F79" s="28" t="str">
        <f>VLOOKUP($B79,Enunciado!$B$1:$E$18,3,FALSE)</f>
        <v>Tm Recogidas</v>
      </c>
      <c r="G79" s="28">
        <f>VLOOKUP($B79,Enunciado!$B$1:$E$18,4,FALSE)</f>
        <v>225</v>
      </c>
      <c r="H79" s="28">
        <f t="shared" si="3"/>
        <v>295.07502750275029</v>
      </c>
    </row>
    <row r="80" spans="1:10" ht="30" x14ac:dyDescent="0.25">
      <c r="A80" s="43"/>
      <c r="B80" s="3" t="str">
        <v>3.a. Recogida y transporte a centros de transferencia de muebles-enseres y vehículos fuera de uso</v>
      </c>
      <c r="C80" s="27">
        <v>149264.20342034206</v>
      </c>
      <c r="D80" s="28">
        <v>0</v>
      </c>
      <c r="E80" s="28">
        <f t="shared" si="2"/>
        <v>149264.20342034206</v>
      </c>
      <c r="F80" s="28" t="str">
        <f>VLOOKUP($B80,Enunciado!$B$1:$E$18,3,FALSE)</f>
        <v>Tm Recogidas</v>
      </c>
      <c r="G80" s="28">
        <f>VLOOKUP($B80,Enunciado!$B$1:$E$18,4,FALSE)</f>
        <v>400</v>
      </c>
      <c r="H80" s="28">
        <f t="shared" si="3"/>
        <v>373.16050855085518</v>
      </c>
    </row>
    <row r="81" spans="1:9" x14ac:dyDescent="0.25">
      <c r="A81" s="43"/>
      <c r="B81" s="3" t="s">
        <v>11</v>
      </c>
      <c r="C81" s="27">
        <f>SUM(C74:C80)</f>
        <v>3401127.2763276333</v>
      </c>
      <c r="D81" s="27">
        <f>SUM(D74:D80)</f>
        <v>189416.72367236722</v>
      </c>
      <c r="E81" s="27">
        <f t="shared" si="2"/>
        <v>3590544.0000000005</v>
      </c>
      <c r="F81" s="161"/>
      <c r="G81" s="162"/>
      <c r="H81" s="163"/>
    </row>
    <row r="82" spans="1:9" x14ac:dyDescent="0.25">
      <c r="B82" s="120" t="s">
        <v>104</v>
      </c>
      <c r="C82" s="120"/>
      <c r="D82" s="120"/>
      <c r="E82" s="120"/>
      <c r="F82" s="120"/>
      <c r="G82" s="120"/>
      <c r="H82" s="120"/>
    </row>
    <row r="83" spans="1:9" x14ac:dyDescent="0.25">
      <c r="B83" s="66"/>
      <c r="C83" s="66"/>
      <c r="D83" s="66"/>
      <c r="E83" s="66"/>
      <c r="F83" s="66"/>
      <c r="G83" s="66"/>
      <c r="H83" s="66"/>
    </row>
    <row r="84" spans="1:9" x14ac:dyDescent="0.25">
      <c r="B84" s="59" t="s">
        <v>98</v>
      </c>
      <c r="C84" s="59"/>
      <c r="D84" s="59"/>
      <c r="E84" s="59"/>
      <c r="F84" s="59"/>
      <c r="G84" s="59"/>
      <c r="H84" s="66"/>
    </row>
    <row r="85" spans="1:9" x14ac:dyDescent="0.25">
      <c r="B85" s="60" t="s">
        <v>105</v>
      </c>
      <c r="C85" s="59"/>
      <c r="D85" s="59"/>
      <c r="E85" s="59"/>
      <c r="F85" s="59"/>
      <c r="G85" s="59"/>
    </row>
    <row r="86" spans="1:9" x14ac:dyDescent="0.25">
      <c r="B86" s="14"/>
    </row>
    <row r="87" spans="1:9" x14ac:dyDescent="0.25"/>
    <row r="88" spans="1:9" x14ac:dyDescent="0.25"/>
    <row r="89" spans="1:9" x14ac:dyDescent="0.25"/>
    <row r="90" spans="1:9" ht="15" customHeight="1" x14ac:dyDescent="0.25">
      <c r="A90" s="103" t="s">
        <v>111</v>
      </c>
      <c r="B90" s="103"/>
      <c r="C90" s="103"/>
      <c r="D90" s="103"/>
      <c r="E90" s="103"/>
      <c r="F90" s="103"/>
      <c r="G90" s="103"/>
      <c r="H90" s="103"/>
    </row>
    <row r="91" spans="1:9" x14ac:dyDescent="0.25"/>
    <row r="92" spans="1:9" x14ac:dyDescent="0.25"/>
    <row r="93" spans="1:9" x14ac:dyDescent="0.25">
      <c r="C93" s="157" t="s">
        <v>40</v>
      </c>
      <c r="D93" s="157"/>
      <c r="E93" s="157"/>
      <c r="F93" s="157"/>
      <c r="G93" s="157"/>
      <c r="H93" s="157"/>
    </row>
    <row r="94" spans="1:9" ht="93" x14ac:dyDescent="0.25">
      <c r="B94" s="6"/>
      <c r="C94" s="7" t="str">
        <f t="array" ref="C94:H94">Enunciado!C30:H30</f>
        <v xml:space="preserve">4.a. Tratamiento de orgánicos +Resto </v>
      </c>
      <c r="D94" s="7" t="str">
        <v>4.b. Tratamiento de Envases</v>
      </c>
      <c r="E94" s="7" t="str">
        <v>4.c. Tratamiento de Vidrio</v>
      </c>
      <c r="F94" s="7" t="str">
        <v>4.d. Tratamiento de Papel Cartón</v>
      </c>
      <c r="G94" s="7" t="str">
        <v>4.e. Tratamiento de Pilas</v>
      </c>
      <c r="H94" s="7" t="str">
        <v>4.f. Tratamiento de Voluminosos-Enseres- Vehículos</v>
      </c>
      <c r="I94" s="29" t="s">
        <v>42</v>
      </c>
    </row>
    <row r="95" spans="1:9" ht="30" customHeight="1" x14ac:dyDescent="0.25">
      <c r="A95" s="158" t="s">
        <v>41</v>
      </c>
      <c r="B95" s="8" t="str">
        <f t="array" ref="B95:B101">Enunciado!B31:B37</f>
        <v>1.b. Fracción Orgánica+-restos. Recogida y Transporte a centros de tratamiento.</v>
      </c>
      <c r="C95" s="30">
        <f t="array" ref="C95:H101">Enunciado!J31:J37*Enunciado!C31:H37</f>
        <v>2939350.3074707473</v>
      </c>
      <c r="D95" s="30">
        <v>0</v>
      </c>
      <c r="E95" s="30">
        <v>0</v>
      </c>
      <c r="F95" s="30">
        <v>0</v>
      </c>
      <c r="G95" s="30">
        <v>0</v>
      </c>
      <c r="H95" s="30">
        <v>0</v>
      </c>
      <c r="I95" s="31">
        <f t="shared" ref="I95:I101" si="4">SUM(C95:H95)</f>
        <v>2939350.3074707473</v>
      </c>
    </row>
    <row r="96" spans="1:9" x14ac:dyDescent="0.25">
      <c r="A96" s="159"/>
      <c r="B96" s="8" t="str">
        <v>1.c. Fracción Envases. Recogida y Transporte a centros de tratamiento.</v>
      </c>
      <c r="C96" s="30">
        <v>0</v>
      </c>
      <c r="D96" s="30">
        <v>162457.64032403243</v>
      </c>
      <c r="E96" s="30">
        <v>0</v>
      </c>
      <c r="F96" s="30">
        <v>0</v>
      </c>
      <c r="G96" s="30">
        <v>0</v>
      </c>
      <c r="H96" s="30">
        <v>0</v>
      </c>
      <c r="I96" s="31">
        <f t="shared" si="4"/>
        <v>162457.64032403243</v>
      </c>
    </row>
    <row r="97" spans="1:9" x14ac:dyDescent="0.25">
      <c r="A97" s="159"/>
      <c r="B97" s="8" t="str">
        <v xml:space="preserve">2.a. Recogida y transporte a centros de transferencia de papel y cartón </v>
      </c>
      <c r="C97" s="30">
        <v>0</v>
      </c>
      <c r="D97" s="30">
        <v>0</v>
      </c>
      <c r="E97" s="30">
        <v>0</v>
      </c>
      <c r="F97" s="30">
        <v>160367.52475247526</v>
      </c>
      <c r="G97" s="30">
        <v>0</v>
      </c>
      <c r="H97" s="30">
        <v>0</v>
      </c>
      <c r="I97" s="31">
        <f t="shared" si="4"/>
        <v>160367.52475247526</v>
      </c>
    </row>
    <row r="98" spans="1:9" x14ac:dyDescent="0.25">
      <c r="A98" s="159"/>
      <c r="B98" s="8" t="str">
        <v>2.b. Recogida y transporte  a centros de transferencia de vidrio</v>
      </c>
      <c r="C98" s="30">
        <v>0</v>
      </c>
      <c r="D98" s="30">
        <v>0</v>
      </c>
      <c r="E98" s="30">
        <v>112245.899189919</v>
      </c>
      <c r="F98" s="30">
        <v>0</v>
      </c>
      <c r="G98" s="30">
        <v>0</v>
      </c>
      <c r="H98" s="30">
        <v>0</v>
      </c>
      <c r="I98" s="31">
        <f t="shared" si="4"/>
        <v>112245.899189919</v>
      </c>
    </row>
    <row r="99" spans="1:9" x14ac:dyDescent="0.25">
      <c r="A99" s="159"/>
      <c r="B99" s="8" t="str">
        <v>2.c. Recogida y transporte  a centros de transferencia de pilas usadas.</v>
      </c>
      <c r="C99" s="30">
        <v>0</v>
      </c>
      <c r="D99" s="30">
        <v>0</v>
      </c>
      <c r="E99" s="30">
        <v>0</v>
      </c>
      <c r="F99" s="30">
        <v>0</v>
      </c>
      <c r="G99" s="30">
        <v>466.54365436543662</v>
      </c>
      <c r="H99" s="30">
        <v>0</v>
      </c>
      <c r="I99" s="31">
        <f t="shared" si="4"/>
        <v>466.54365436543662</v>
      </c>
    </row>
    <row r="100" spans="1:9" ht="30" x14ac:dyDescent="0.25">
      <c r="A100" s="159"/>
      <c r="B100" s="8" t="str">
        <v>2.d. Recogida y transporte a centros de transferencia de papel-cartón, vidrio y pilas en punto limpio</v>
      </c>
      <c r="C100" s="30">
        <v>0</v>
      </c>
      <c r="D100" s="30">
        <v>0</v>
      </c>
      <c r="E100" s="30">
        <v>21909.320792079212</v>
      </c>
      <c r="F100" s="30">
        <v>42490.803960396042</v>
      </c>
      <c r="G100" s="30">
        <v>1991.7564356435644</v>
      </c>
      <c r="H100" s="30">
        <v>0</v>
      </c>
      <c r="I100" s="31">
        <f t="shared" si="4"/>
        <v>66391.881188118816</v>
      </c>
    </row>
    <row r="101" spans="1:9" ht="30" x14ac:dyDescent="0.25">
      <c r="A101" s="160"/>
      <c r="B101" s="8" t="str">
        <v>3.a. Recogida y transporte a centros de transferencia de muebles-enseres y vehículos fuera de uso</v>
      </c>
      <c r="C101" s="30">
        <v>0</v>
      </c>
      <c r="D101" s="30">
        <v>0</v>
      </c>
      <c r="E101" s="30">
        <v>0</v>
      </c>
      <c r="F101" s="30">
        <v>0</v>
      </c>
      <c r="G101" s="30">
        <v>0</v>
      </c>
      <c r="H101" s="30">
        <v>149264.20342034206</v>
      </c>
      <c r="I101" s="31">
        <f t="shared" si="4"/>
        <v>149264.20342034206</v>
      </c>
    </row>
    <row r="102" spans="1:9" x14ac:dyDescent="0.25">
      <c r="B102" s="44" t="s">
        <v>106</v>
      </c>
      <c r="C102" s="31">
        <f>SUM(C95:C101)</f>
        <v>2939350.3074707473</v>
      </c>
      <c r="D102" s="31">
        <f t="shared" ref="D102:H102" si="5">SUM(D95:D101)</f>
        <v>162457.64032403243</v>
      </c>
      <c r="E102" s="31">
        <f t="shared" si="5"/>
        <v>134155.21998199821</v>
      </c>
      <c r="F102" s="31">
        <f t="shared" si="5"/>
        <v>202858.3287128713</v>
      </c>
      <c r="G102" s="31">
        <f t="shared" si="5"/>
        <v>2458.300090009001</v>
      </c>
      <c r="H102" s="31">
        <f t="shared" si="5"/>
        <v>149264.20342034206</v>
      </c>
      <c r="I102" s="31">
        <f>SUM(I95:I101)</f>
        <v>3590544</v>
      </c>
    </row>
    <row r="103" spans="1:9" x14ac:dyDescent="0.25">
      <c r="B103" s="120" t="s">
        <v>107</v>
      </c>
      <c r="C103" s="120"/>
      <c r="D103" s="120"/>
      <c r="E103" s="120"/>
      <c r="F103" s="120"/>
      <c r="G103" s="120"/>
      <c r="H103" s="120"/>
      <c r="I103" s="120"/>
    </row>
    <row r="104" spans="1:9" x14ac:dyDescent="0.25"/>
    <row r="105" spans="1:9" x14ac:dyDescent="0.25">
      <c r="B105" s="59" t="s">
        <v>98</v>
      </c>
      <c r="C105" s="59"/>
      <c r="D105" s="59"/>
      <c r="E105" s="59"/>
      <c r="F105" s="59"/>
      <c r="G105" s="59"/>
    </row>
    <row r="106" spans="1:9" ht="30" x14ac:dyDescent="0.25">
      <c r="B106" s="60" t="s">
        <v>108</v>
      </c>
      <c r="C106" s="59"/>
      <c r="D106" s="59"/>
      <c r="E106" s="59"/>
      <c r="F106" s="59"/>
      <c r="G106" s="59"/>
    </row>
    <row r="107" spans="1:9" x14ac:dyDescent="0.25"/>
    <row r="108" spans="1:9" x14ac:dyDescent="0.25"/>
    <row r="109" spans="1:9" x14ac:dyDescent="0.25"/>
    <row r="110" spans="1:9" ht="30" x14ac:dyDescent="0.25">
      <c r="C110" s="3" t="str">
        <f t="array" ref="C110:E110">C73:E73</f>
        <v>Coste propio</v>
      </c>
      <c r="D110" s="3" t="str">
        <v>Coste de traza</v>
      </c>
      <c r="E110" s="3" t="str">
        <v>Coste acumulado</v>
      </c>
      <c r="F110" s="3" t="str">
        <f t="array" ref="F110:G110">Enunciado!$D$1:$E$1</f>
        <v>Cost Driver</v>
      </c>
      <c r="G110" s="3" t="str">
        <v>Uds Cost Driver</v>
      </c>
      <c r="H110" s="3" t="s">
        <v>57</v>
      </c>
    </row>
    <row r="111" spans="1:9" x14ac:dyDescent="0.25">
      <c r="B111" s="8" t="str">
        <f t="array" ref="B111:B116">B14:B19</f>
        <v xml:space="preserve">4.a. Tratamiento de orgánicos +Resto </v>
      </c>
      <c r="C111" s="27">
        <f t="array" ref="C111:C116">G14:G19</f>
        <v>809599.99999999988</v>
      </c>
      <c r="D111" s="28">
        <f t="array" ref="D111:D116">TRANSPOSE(C102:H102)</f>
        <v>2939350.3074707473</v>
      </c>
      <c r="E111" s="28">
        <f>C111+D111</f>
        <v>3748950.3074707473</v>
      </c>
      <c r="F111" s="28" t="str">
        <f>VLOOKUP($B111,Enunciado!$B$1:$E$18,3,FALSE)</f>
        <v>Tm Tratadas</v>
      </c>
      <c r="G111" s="28">
        <f>VLOOKUP($B111,Enunciado!$B$1:$E$18,4,FALSE)</f>
        <v>40000</v>
      </c>
      <c r="H111" s="28">
        <f>E111/G111</f>
        <v>93.723757686768678</v>
      </c>
    </row>
    <row r="112" spans="1:9" x14ac:dyDescent="0.25">
      <c r="B112" s="8" t="str">
        <v>4.b. Tratamiento de Envases</v>
      </c>
      <c r="C112" s="27">
        <v>0</v>
      </c>
      <c r="D112" s="28">
        <v>162457.64032403243</v>
      </c>
      <c r="E112" s="28">
        <f t="shared" ref="E112:E116" si="6">C112+D112</f>
        <v>162457.64032403243</v>
      </c>
      <c r="F112" s="28" t="str">
        <f>VLOOKUP($B112,Enunciado!$B$1:$E$18,3,FALSE)</f>
        <v>Tm Tratadas</v>
      </c>
      <c r="G112" s="28">
        <f>VLOOKUP($B112,Enunciado!$B$1:$E$18,4,FALSE)</f>
        <v>900</v>
      </c>
      <c r="H112" s="28">
        <f t="shared" ref="H112:H116" si="7">E112/G112</f>
        <v>180.50848924892492</v>
      </c>
    </row>
    <row r="113" spans="1:8" x14ac:dyDescent="0.25">
      <c r="B113" s="8" t="str">
        <v>4.c. Tratamiento de Vidrio</v>
      </c>
      <c r="C113" s="27">
        <v>0</v>
      </c>
      <c r="D113" s="28">
        <v>134155.21998199821</v>
      </c>
      <c r="E113" s="28">
        <f t="shared" si="6"/>
        <v>134155.21998199821</v>
      </c>
      <c r="F113" s="28" t="str">
        <f>VLOOKUP($B113,Enunciado!$B$1:$E$18,3,FALSE)</f>
        <v>Tm Tratadas</v>
      </c>
      <c r="G113" s="28">
        <f>VLOOKUP($B113,Enunciado!$B$1:$E$18,4,FALSE)</f>
        <v>3574.25</v>
      </c>
      <c r="H113" s="28">
        <f t="shared" si="7"/>
        <v>37.533809885150227</v>
      </c>
    </row>
    <row r="114" spans="1:8" x14ac:dyDescent="0.25">
      <c r="B114" s="8" t="str">
        <v>4.d. Tratamiento de Papel Cartón</v>
      </c>
      <c r="C114" s="27">
        <v>0</v>
      </c>
      <c r="D114" s="28">
        <v>202858.3287128713</v>
      </c>
      <c r="E114" s="28">
        <f t="shared" si="6"/>
        <v>202858.3287128713</v>
      </c>
      <c r="F114" s="28" t="str">
        <f>VLOOKUP($B114,Enunciado!$B$1:$E$18,3,FALSE)</f>
        <v>Tm Tratadas</v>
      </c>
      <c r="G114" s="28">
        <f>VLOOKUP($B114,Enunciado!$B$1:$E$18,4,FALSE)</f>
        <v>744</v>
      </c>
      <c r="H114" s="28">
        <f t="shared" si="7"/>
        <v>272.65904396891301</v>
      </c>
    </row>
    <row r="115" spans="1:8" x14ac:dyDescent="0.25">
      <c r="B115" s="8" t="str">
        <v>4.e. Tratamiento de Pilas</v>
      </c>
      <c r="C115" s="27">
        <v>0</v>
      </c>
      <c r="D115" s="28">
        <v>2458.300090009001</v>
      </c>
      <c r="E115" s="28">
        <f t="shared" si="6"/>
        <v>2458.300090009001</v>
      </c>
      <c r="F115" s="28" t="str">
        <f>VLOOKUP($B115,Enunciado!$B$1:$E$18,3,FALSE)</f>
        <v>Tm Tratadas</v>
      </c>
      <c r="G115" s="28">
        <f>VLOOKUP($B115,Enunciado!$B$1:$E$18,4,FALSE)</f>
        <v>12.75</v>
      </c>
      <c r="H115" s="28">
        <f t="shared" si="7"/>
        <v>192.80785019678439</v>
      </c>
    </row>
    <row r="116" spans="1:8" x14ac:dyDescent="0.25">
      <c r="B116" s="8" t="str">
        <v>4.f. Tratamiento de Voluminosos-Enseres- Vehículos</v>
      </c>
      <c r="C116" s="27">
        <v>0</v>
      </c>
      <c r="D116" s="28">
        <v>149264.20342034206</v>
      </c>
      <c r="E116" s="28">
        <f t="shared" si="6"/>
        <v>149264.20342034206</v>
      </c>
      <c r="F116" s="28" t="str">
        <f>VLOOKUP($B116,Enunciado!$B$1:$E$18,3,FALSE)</f>
        <v>Tm Tratadas</v>
      </c>
      <c r="G116" s="28">
        <f>VLOOKUP($B116,Enunciado!$B$1:$E$18,4,FALSE)</f>
        <v>400</v>
      </c>
      <c r="H116" s="28">
        <f t="shared" si="7"/>
        <v>373.16050855085518</v>
      </c>
    </row>
    <row r="117" spans="1:8" x14ac:dyDescent="0.25">
      <c r="B117" s="8"/>
      <c r="C117" s="27"/>
      <c r="D117" s="28"/>
      <c r="E117" s="28"/>
    </row>
    <row r="118" spans="1:8" x14ac:dyDescent="0.25">
      <c r="B118" s="13" t="s">
        <v>43</v>
      </c>
      <c r="C118" s="12">
        <f>SUM(C111:C117)</f>
        <v>809599.99999999988</v>
      </c>
      <c r="D118" s="12">
        <f t="shared" ref="D118:E118" si="8">SUM(D111:D117)</f>
        <v>3590544</v>
      </c>
      <c r="E118" s="12">
        <f t="shared" si="8"/>
        <v>4400144.0000000009</v>
      </c>
    </row>
    <row r="119" spans="1:8" x14ac:dyDescent="0.25">
      <c r="B119" s="126" t="s">
        <v>109</v>
      </c>
      <c r="C119" s="126"/>
      <c r="D119" s="126"/>
      <c r="E119" s="126"/>
      <c r="F119" s="126"/>
      <c r="G119" s="126"/>
      <c r="H119" s="126"/>
    </row>
    <row r="120" spans="1:8" x14ac:dyDescent="0.25"/>
    <row r="121" spans="1:8" x14ac:dyDescent="0.25">
      <c r="B121" s="59" t="s">
        <v>98</v>
      </c>
      <c r="C121" s="59"/>
      <c r="D121" s="59"/>
      <c r="E121" s="59"/>
      <c r="F121" s="59"/>
      <c r="G121" s="59"/>
    </row>
    <row r="122" spans="1:8" x14ac:dyDescent="0.25">
      <c r="B122" s="60" t="s">
        <v>110</v>
      </c>
      <c r="C122" s="59"/>
      <c r="D122" s="59"/>
      <c r="E122" s="59"/>
      <c r="F122" s="59"/>
      <c r="G122" s="59"/>
    </row>
    <row r="123" spans="1:8" x14ac:dyDescent="0.25"/>
    <row r="124" spans="1:8" x14ac:dyDescent="0.25"/>
    <row r="125" spans="1:8" x14ac:dyDescent="0.25">
      <c r="A125" s="103" t="s">
        <v>116</v>
      </c>
      <c r="B125" s="103"/>
      <c r="C125" s="103"/>
      <c r="D125" s="103"/>
      <c r="E125" s="103"/>
      <c r="F125" s="103"/>
      <c r="G125" s="103"/>
      <c r="H125" s="103"/>
    </row>
    <row r="126" spans="1:8" x14ac:dyDescent="0.25"/>
    <row r="127" spans="1:8" x14ac:dyDescent="0.25"/>
    <row r="128" spans="1:8" x14ac:dyDescent="0.25">
      <c r="C128" s="154" t="s">
        <v>45</v>
      </c>
      <c r="D128" s="155"/>
      <c r="E128" s="156"/>
    </row>
    <row r="129" spans="1:8" ht="86.25" x14ac:dyDescent="0.25">
      <c r="C129" s="7" t="str">
        <f t="array" ref="C129:E129">Enunciado!C44:E44</f>
        <v>5.a Transferencia de materiales recuperados para reutilización-Reciclaje</v>
      </c>
      <c r="D129" s="7" t="str">
        <v>5.b. Transferencia de energía generada</v>
      </c>
      <c r="E129" s="7" t="str">
        <v>5.c. Eliminación-Depósito en vertedero</v>
      </c>
      <c r="F129" s="29" t="str">
        <f t="array" ref="F129:F137">Enunciado!G44:G52</f>
        <v>*Coste de Acmulado N2</v>
      </c>
    </row>
    <row r="130" spans="1:8" x14ac:dyDescent="0.25">
      <c r="A130" s="158" t="s">
        <v>40</v>
      </c>
      <c r="B130" s="8" t="str">
        <f t="array" ref="B130:B137">Enunciado!B45:B52</f>
        <v xml:space="preserve">4.a. Tratamiento de orgánicos +Resto </v>
      </c>
      <c r="C130" s="30">
        <f t="array" ref="C130:E135">Enunciado!G45:G50*Enunciado!C45:E50</f>
        <v>1424601.1168388841</v>
      </c>
      <c r="D130" s="30">
        <v>749790.0614941495</v>
      </c>
      <c r="E130" s="30">
        <v>1574559.1291377137</v>
      </c>
      <c r="F130" s="31">
        <v>3748950.3074707473</v>
      </c>
    </row>
    <row r="131" spans="1:8" x14ac:dyDescent="0.25">
      <c r="A131" s="159"/>
      <c r="B131" s="8" t="str">
        <v>4.b. Tratamiento de Envases</v>
      </c>
      <c r="C131" s="30">
        <v>151085.60550135016</v>
      </c>
      <c r="D131" s="30">
        <v>0</v>
      </c>
      <c r="E131" s="30">
        <v>11372.034822682272</v>
      </c>
      <c r="F131" s="31">
        <v>162457.64032403243</v>
      </c>
    </row>
    <row r="132" spans="1:8" x14ac:dyDescent="0.25">
      <c r="A132" s="159"/>
      <c r="B132" s="8" t="str">
        <v>4.c. Tratamiento de Vidrio</v>
      </c>
      <c r="C132" s="30">
        <v>132813.66778217824</v>
      </c>
      <c r="D132" s="30">
        <v>0</v>
      </c>
      <c r="E132" s="30">
        <v>1341.552199819982</v>
      </c>
      <c r="F132" s="31">
        <v>134155.21998199821</v>
      </c>
    </row>
    <row r="133" spans="1:8" x14ac:dyDescent="0.25">
      <c r="A133" s="159"/>
      <c r="B133" s="8" t="str">
        <v>4.d. Tratamiento de Papel Cartón</v>
      </c>
      <c r="C133" s="30">
        <v>200829.74542574259</v>
      </c>
      <c r="D133" s="30">
        <v>0</v>
      </c>
      <c r="E133" s="30">
        <v>2028.583287128713</v>
      </c>
      <c r="F133" s="31">
        <v>202858.3287128713</v>
      </c>
    </row>
    <row r="134" spans="1:8" x14ac:dyDescent="0.25">
      <c r="A134" s="159"/>
      <c r="B134" s="8" t="str">
        <v>4.e. Tratamiento de Pilas</v>
      </c>
      <c r="C134" s="30">
        <v>2458.300090009001</v>
      </c>
      <c r="D134" s="30">
        <v>0</v>
      </c>
      <c r="E134" s="30">
        <v>0</v>
      </c>
      <c r="F134" s="31">
        <v>2458.300090009001</v>
      </c>
    </row>
    <row r="135" spans="1:8" x14ac:dyDescent="0.25">
      <c r="A135" s="159"/>
      <c r="B135" s="8" t="str">
        <v>4.f. Tratamiento de Voluminosos-Enseres- Vehículos</v>
      </c>
      <c r="C135" s="30">
        <v>29852.840684068415</v>
      </c>
      <c r="D135" s="30">
        <v>0</v>
      </c>
      <c r="E135" s="30">
        <v>119411.36273627366</v>
      </c>
      <c r="F135" s="31">
        <v>149264.20342034206</v>
      </c>
    </row>
    <row r="136" spans="1:8" x14ac:dyDescent="0.25">
      <c r="A136" s="159"/>
      <c r="B136" s="67">
        <v>0</v>
      </c>
      <c r="C136" s="68"/>
      <c r="D136" s="68"/>
      <c r="E136" s="68"/>
      <c r="F136" s="69">
        <v>0</v>
      </c>
    </row>
    <row r="137" spans="1:8" x14ac:dyDescent="0.25">
      <c r="A137" s="160"/>
      <c r="B137" s="33" t="str">
        <v>Total N3</v>
      </c>
      <c r="C137" s="30">
        <f>SUM(C130:C136)</f>
        <v>1941641.2763222326</v>
      </c>
      <c r="D137" s="30">
        <f t="shared" ref="D137:E137" si="9">SUM(D130:D136)</f>
        <v>749790.0614941495</v>
      </c>
      <c r="E137" s="30">
        <f t="shared" si="9"/>
        <v>1708712.6621836184</v>
      </c>
      <c r="F137" s="31">
        <v>4400144.0000000009</v>
      </c>
    </row>
    <row r="138" spans="1:8" x14ac:dyDescent="0.25">
      <c r="B138" s="120" t="s">
        <v>112</v>
      </c>
      <c r="C138" s="120"/>
      <c r="D138" s="120"/>
      <c r="E138" s="120"/>
      <c r="F138" s="120"/>
    </row>
    <row r="139" spans="1:8" x14ac:dyDescent="0.25"/>
    <row r="140" spans="1:8" x14ac:dyDescent="0.25">
      <c r="B140" s="59" t="s">
        <v>98</v>
      </c>
      <c r="C140" s="59"/>
      <c r="D140" s="59"/>
      <c r="E140" s="59"/>
      <c r="F140" s="59"/>
      <c r="G140" s="59"/>
    </row>
    <row r="141" spans="1:8" ht="30" x14ac:dyDescent="0.25">
      <c r="B141" s="60" t="s">
        <v>113</v>
      </c>
      <c r="C141" s="59"/>
      <c r="D141" s="59"/>
      <c r="E141" s="59"/>
      <c r="F141" s="59"/>
      <c r="G141" s="59"/>
    </row>
    <row r="142" spans="1:8" x14ac:dyDescent="0.25"/>
    <row r="143" spans="1:8" ht="30" x14ac:dyDescent="0.25">
      <c r="C143" s="3" t="str">
        <f t="array" ref="C143:E143">C110:E110</f>
        <v>Coste propio</v>
      </c>
      <c r="D143" s="3" t="str">
        <v>Coste de traza</v>
      </c>
      <c r="E143" s="3" t="str">
        <v>Coste acumulado</v>
      </c>
      <c r="F143" s="3" t="str">
        <f t="array" ref="F143:G143">Enunciado!$D$1:$E$1</f>
        <v>Cost Driver</v>
      </c>
      <c r="G143" s="3" t="str">
        <v>Uds Cost Driver</v>
      </c>
      <c r="H143" s="3" t="s">
        <v>57</v>
      </c>
    </row>
    <row r="144" spans="1:8" ht="30" x14ac:dyDescent="0.25">
      <c r="B144" s="8" t="str">
        <f t="array" ref="B144:B146">TRANSPOSE(C129:E129)</f>
        <v>5.a Transferencia de materiales recuperados para reutilización-Reciclaje</v>
      </c>
      <c r="C144" s="30">
        <f t="array" ref="C144:C146">G20:G22</f>
        <v>0</v>
      </c>
      <c r="D144" s="30">
        <f t="array" ref="D144:D146">TRANSPOSE(C137:E137)</f>
        <v>1941641.2763222326</v>
      </c>
      <c r="E144" s="5">
        <f>C144+D144</f>
        <v>1941641.2763222326</v>
      </c>
      <c r="F144" s="48" t="str">
        <f>VLOOKUP($B144,Enunciado!$B$1:$E$18,3,FALSE)</f>
        <v>Tm Transferidas</v>
      </c>
      <c r="G144" s="28">
        <f>VLOOKUP($B144,Enunciado!$B$1:$E$18,4,FALSE)</f>
        <v>20404.817500000001</v>
      </c>
      <c r="H144" s="28">
        <f>E144/G144</f>
        <v>95.156022656033684</v>
      </c>
    </row>
    <row r="145" spans="1:13" ht="30" x14ac:dyDescent="0.25">
      <c r="B145" s="8" t="str">
        <v>5.b. Transferencia de energía generada</v>
      </c>
      <c r="C145" s="30">
        <v>0</v>
      </c>
      <c r="D145" s="30">
        <v>749790.0614941495</v>
      </c>
      <c r="E145" s="5">
        <f t="shared" ref="E145:E146" si="10">C145+D145</f>
        <v>749790.0614941495</v>
      </c>
      <c r="F145" s="48" t="str">
        <f>VLOOKUP($B145,Enunciado!$B$1:$E$18,3,FALSE)</f>
        <v>Kw transferidos</v>
      </c>
      <c r="G145" s="28">
        <f>VLOOKUP($B145,Enunciado!$B$1:$E$18,4,FALSE)</f>
        <v>8000</v>
      </c>
      <c r="H145" s="28">
        <f t="shared" ref="H145:H146" si="11">E145/G145</f>
        <v>93.723757686768693</v>
      </c>
    </row>
    <row r="146" spans="1:13" ht="30" x14ac:dyDescent="0.25">
      <c r="B146" s="8" t="str">
        <v>5.c. Eliminación-Depósito en vertedero</v>
      </c>
      <c r="C146" s="30">
        <v>0</v>
      </c>
      <c r="D146" s="30">
        <v>1708712.6621836184</v>
      </c>
      <c r="E146" s="5">
        <f t="shared" si="10"/>
        <v>1708712.6621836184</v>
      </c>
      <c r="F146" s="48" t="str">
        <f>VLOOKUP($B146,Enunciado!$B$1:$E$18,3,FALSE)</f>
        <v>Tm Transferidas</v>
      </c>
      <c r="G146" s="28">
        <f>VLOOKUP($B146,Enunciado!$B$1:$E$18,4,FALSE)</f>
        <v>17226.182499999999</v>
      </c>
      <c r="H146" s="28">
        <f t="shared" si="11"/>
        <v>99.192764397080921</v>
      </c>
    </row>
    <row r="147" spans="1:13" x14ac:dyDescent="0.25">
      <c r="B147" s="18" t="s">
        <v>46</v>
      </c>
      <c r="C147" s="12">
        <f>SUM(C144:C146)</f>
        <v>0</v>
      </c>
      <c r="D147" s="12">
        <f t="shared" ref="D147:E147" si="12">SUM(D144:D146)</f>
        <v>4400144</v>
      </c>
      <c r="E147" s="12">
        <f t="shared" si="12"/>
        <v>4400144</v>
      </c>
    </row>
    <row r="148" spans="1:13" x14ac:dyDescent="0.25">
      <c r="B148" s="126" t="s">
        <v>114</v>
      </c>
      <c r="C148" s="126"/>
      <c r="D148" s="126"/>
      <c r="E148" s="126"/>
      <c r="F148" s="126"/>
      <c r="G148" s="126"/>
      <c r="H148" s="126"/>
    </row>
    <row r="149" spans="1:13" x14ac:dyDescent="0.25"/>
    <row r="150" spans="1:13" x14ac:dyDescent="0.25">
      <c r="B150" s="59" t="s">
        <v>98</v>
      </c>
      <c r="C150" s="59"/>
      <c r="D150" s="59"/>
      <c r="E150" s="59"/>
      <c r="F150" s="59"/>
      <c r="G150" s="59"/>
    </row>
    <row r="151" spans="1:13" x14ac:dyDescent="0.25">
      <c r="B151" s="60" t="s">
        <v>115</v>
      </c>
      <c r="C151" s="59"/>
      <c r="D151" s="59"/>
      <c r="E151" s="59"/>
      <c r="F151" s="59"/>
      <c r="G151" s="59"/>
    </row>
    <row r="152" spans="1:13" x14ac:dyDescent="0.25">
      <c r="B152" s="70"/>
      <c r="C152" s="71"/>
      <c r="D152" s="71"/>
      <c r="E152" s="71"/>
      <c r="F152" s="71"/>
      <c r="G152" s="71"/>
    </row>
    <row r="153" spans="1:13" x14ac:dyDescent="0.25">
      <c r="A153" s="103" t="s">
        <v>136</v>
      </c>
      <c r="B153" s="103"/>
      <c r="C153" s="103"/>
      <c r="D153" s="103"/>
      <c r="E153" s="103"/>
      <c r="F153" s="103"/>
      <c r="G153" s="103"/>
      <c r="H153" s="103"/>
    </row>
    <row r="154" spans="1:13" x14ac:dyDescent="0.25">
      <c r="B154" s="70"/>
      <c r="C154" s="71"/>
      <c r="D154" s="71"/>
      <c r="E154" s="71"/>
      <c r="F154" s="71"/>
      <c r="G154" s="71"/>
    </row>
    <row r="155" spans="1:13" ht="45" hidden="1" x14ac:dyDescent="0.25">
      <c r="A155" s="1" t="str">
        <f t="array" ref="A155:E172">Enunciado!A1:E18</f>
        <v>Prestación</v>
      </c>
      <c r="B155" s="1" t="str">
        <v>Actividad</v>
      </c>
      <c r="C155" s="3" t="str">
        <v>Nivel de Actividad</v>
      </c>
      <c r="D155" s="4" t="str">
        <v>Cost Driver</v>
      </c>
      <c r="E155" s="4" t="str">
        <v>Uds Cost Driver</v>
      </c>
      <c r="F155" s="4" t="s">
        <v>59</v>
      </c>
      <c r="G155" s="4" t="s">
        <v>37</v>
      </c>
      <c r="H155" s="4" t="s">
        <v>60</v>
      </c>
      <c r="I155" s="4" t="s">
        <v>64</v>
      </c>
      <c r="J155" s="4" t="s">
        <v>66</v>
      </c>
      <c r="K155" s="4" t="s">
        <v>62</v>
      </c>
      <c r="L155" s="4" t="s">
        <v>63</v>
      </c>
      <c r="M155" s="4" t="s">
        <v>61</v>
      </c>
    </row>
    <row r="156" spans="1:13" hidden="1" x14ac:dyDescent="0.25">
      <c r="A156" s="117" t="str">
        <v>1. Recogida (RSD). Servicio diario de recogida selectiva domiciliaria de envases y orgánica + restos</v>
      </c>
      <c r="B156" s="1" t="str">
        <v>1.a. Colocación, mantenimiento y transporte de los contenedores</v>
      </c>
      <c r="C156" s="1" t="str">
        <v>N0</v>
      </c>
      <c r="D156" s="1" t="str">
        <v>Tm RSD</v>
      </c>
      <c r="E156" s="46">
        <v>40900</v>
      </c>
      <c r="F156" s="46">
        <f t="array" ref="F156:F172">C34:C50</f>
        <v>189416.72367236722</v>
      </c>
      <c r="G156" s="46"/>
      <c r="H156" s="46">
        <f>SUM(F156:G156)</f>
        <v>189416.72367236722</v>
      </c>
      <c r="I156" s="149" t="str">
        <f>D157</f>
        <v>Tm Recogidas</v>
      </c>
      <c r="J156" s="149">
        <f>E156</f>
        <v>40900</v>
      </c>
      <c r="K156" s="149">
        <f>SUM(F156:F158)</f>
        <v>3101807.9477947797</v>
      </c>
      <c r="L156" s="151">
        <v>0</v>
      </c>
      <c r="M156" s="151">
        <f>K156</f>
        <v>3101807.9477947797</v>
      </c>
    </row>
    <row r="157" spans="1:13" hidden="1" x14ac:dyDescent="0.25">
      <c r="A157" s="117">
        <v>0</v>
      </c>
      <c r="B157" s="1" t="str">
        <v>1.b. Fracción Orgánica+-restos. Recogida y Transporte a centros de tratamiento.</v>
      </c>
      <c r="C157" s="1" t="str">
        <v>N1</v>
      </c>
      <c r="D157" s="1" t="str">
        <v>Tm Recogidas</v>
      </c>
      <c r="E157" s="46">
        <v>40000</v>
      </c>
      <c r="F157" s="46">
        <v>2765086.9216921693</v>
      </c>
      <c r="G157" s="46">
        <f t="array" ref="G157:G163">D74:D80</f>
        <v>174263.38577857785</v>
      </c>
      <c r="H157" s="46">
        <f t="shared" ref="H157:H172" si="13">SUM(F157:G157)</f>
        <v>2939350.3074707473</v>
      </c>
      <c r="I157" s="150"/>
      <c r="J157" s="150"/>
      <c r="K157" s="150"/>
      <c r="L157" s="152"/>
      <c r="M157" s="152"/>
    </row>
    <row r="158" spans="1:13" hidden="1" x14ac:dyDescent="0.25">
      <c r="A158" s="117">
        <v>0</v>
      </c>
      <c r="B158" s="1" t="str">
        <v>1.c. Fracción Envases. Recogida y Transporte a centros de tratamiento.</v>
      </c>
      <c r="C158" s="1" t="str">
        <v>N1</v>
      </c>
      <c r="D158" s="1" t="str">
        <v>Tm Recogidas</v>
      </c>
      <c r="E158" s="46">
        <v>900</v>
      </c>
      <c r="F158" s="46">
        <v>147304.30243024306</v>
      </c>
      <c r="G158" s="46">
        <v>15153.337893789378</v>
      </c>
      <c r="H158" s="46">
        <f t="shared" si="13"/>
        <v>162457.64032403243</v>
      </c>
      <c r="I158" s="150"/>
      <c r="J158" s="150"/>
      <c r="K158" s="150"/>
      <c r="L158" s="153"/>
      <c r="M158" s="153"/>
    </row>
    <row r="159" spans="1:13" hidden="1" x14ac:dyDescent="0.25">
      <c r="A159" s="117" t="str">
        <v>2. Recogida selectiva de aportación: vidrio, pilas y papel-cartón</v>
      </c>
      <c r="B159" s="1" t="str">
        <v xml:space="preserve">2.a. Recogida y transporte a centros de transferencia de papel y cartón </v>
      </c>
      <c r="C159" s="1" t="str">
        <v>N1</v>
      </c>
      <c r="D159" s="1" t="str">
        <v>Tm Recogidas</v>
      </c>
      <c r="E159" s="46">
        <v>3500</v>
      </c>
      <c r="F159" s="46">
        <v>160367.52475247526</v>
      </c>
      <c r="G159" s="46">
        <v>0</v>
      </c>
      <c r="H159" s="46">
        <f t="shared" si="13"/>
        <v>160367.52475247526</v>
      </c>
      <c r="I159" s="149" t="str">
        <f>D159</f>
        <v>Tm Recogidas</v>
      </c>
      <c r="J159" s="149">
        <f>SUM(E159:E162)</f>
        <v>4331</v>
      </c>
      <c r="K159" s="149">
        <f>SUM(F159:F162)</f>
        <v>339471.84878487856</v>
      </c>
      <c r="L159" s="151">
        <f>SUM(G159:G162)</f>
        <v>0</v>
      </c>
      <c r="M159" s="151">
        <f>SUM(H159:H162)</f>
        <v>339471.84878487856</v>
      </c>
    </row>
    <row r="160" spans="1:13" hidden="1" x14ac:dyDescent="0.25">
      <c r="A160" s="117">
        <v>0</v>
      </c>
      <c r="B160" s="1" t="str">
        <v>2.b. Recogida y transporte  a centros de transferencia de vidrio</v>
      </c>
      <c r="C160" s="1" t="str">
        <v>N1</v>
      </c>
      <c r="D160" s="1" t="str">
        <v>Tm Recogidas</v>
      </c>
      <c r="E160" s="46">
        <v>600</v>
      </c>
      <c r="F160" s="46">
        <v>112245.899189919</v>
      </c>
      <c r="G160" s="46">
        <v>0</v>
      </c>
      <c r="H160" s="46">
        <f t="shared" si="13"/>
        <v>112245.899189919</v>
      </c>
      <c r="I160" s="150"/>
      <c r="J160" s="150"/>
      <c r="K160" s="150"/>
      <c r="L160" s="152"/>
      <c r="M160" s="152"/>
    </row>
    <row r="161" spans="1:13" hidden="1" x14ac:dyDescent="0.25">
      <c r="A161" s="117">
        <v>0</v>
      </c>
      <c r="B161" s="1" t="str">
        <v>2.c. Recogida y transporte  a centros de transferencia de pilas usadas.</v>
      </c>
      <c r="C161" s="1" t="str">
        <v>N1</v>
      </c>
      <c r="D161" s="1" t="str">
        <v>Tm Recogidas</v>
      </c>
      <c r="E161" s="46">
        <v>6</v>
      </c>
      <c r="F161" s="46">
        <v>466.54365436543662</v>
      </c>
      <c r="G161" s="46">
        <v>0</v>
      </c>
      <c r="H161" s="46">
        <f t="shared" si="13"/>
        <v>466.54365436543662</v>
      </c>
      <c r="I161" s="150"/>
      <c r="J161" s="150"/>
      <c r="K161" s="150"/>
      <c r="L161" s="152"/>
      <c r="M161" s="152"/>
    </row>
    <row r="162" spans="1:13" hidden="1" x14ac:dyDescent="0.25">
      <c r="A162" s="117">
        <v>0</v>
      </c>
      <c r="B162" s="1" t="str">
        <v>2.d. Recogida y transporte a centros de transferencia de papel-cartón, vidrio y pilas en punto limpio</v>
      </c>
      <c r="C162" s="1" t="str">
        <v>N1</v>
      </c>
      <c r="D162" s="1" t="str">
        <v>Tm Recogidas</v>
      </c>
      <c r="E162" s="46">
        <v>225</v>
      </c>
      <c r="F162" s="46">
        <v>66391.881188118816</v>
      </c>
      <c r="G162" s="46">
        <v>0</v>
      </c>
      <c r="H162" s="46">
        <f t="shared" si="13"/>
        <v>66391.881188118816</v>
      </c>
      <c r="I162" s="150"/>
      <c r="J162" s="150"/>
      <c r="K162" s="150"/>
      <c r="L162" s="153"/>
      <c r="M162" s="153"/>
    </row>
    <row r="163" spans="1:13" hidden="1" x14ac:dyDescent="0.25">
      <c r="A163" s="1" t="str">
        <v>3. Recogida de voluminosos</v>
      </c>
      <c r="B163" s="1" t="str">
        <v>3.a. Recogida y transporte a centros de transferencia de muebles-enseres y vehículos fuera de uso</v>
      </c>
      <c r="C163" s="1" t="str">
        <v>N1</v>
      </c>
      <c r="D163" s="1" t="str">
        <v>Tm Recogidas</v>
      </c>
      <c r="E163" s="46">
        <v>400</v>
      </c>
      <c r="F163" s="46">
        <v>149264.20342034206</v>
      </c>
      <c r="G163" s="46">
        <v>0</v>
      </c>
      <c r="H163" s="46">
        <f t="shared" si="13"/>
        <v>149264.20342034206</v>
      </c>
      <c r="I163" s="51" t="str">
        <f>D163</f>
        <v>Tm Recogidas</v>
      </c>
      <c r="J163" s="51">
        <f>E163</f>
        <v>400</v>
      </c>
      <c r="K163" s="51">
        <f>SUM(F163)</f>
        <v>149264.20342034206</v>
      </c>
      <c r="L163" s="51">
        <f>SUM(G163)</f>
        <v>0</v>
      </c>
      <c r="M163" s="51">
        <f>SUM(H163)</f>
        <v>149264.20342034206</v>
      </c>
    </row>
    <row r="164" spans="1:13" hidden="1" x14ac:dyDescent="0.25">
      <c r="A164" s="113" t="str">
        <v>4.Tratamiento de RSU</v>
      </c>
      <c r="B164" s="2" t="str">
        <v xml:space="preserve">4.a. Tratamiento de orgánicos +Resto </v>
      </c>
      <c r="C164" s="2" t="str">
        <v>N2</v>
      </c>
      <c r="D164" s="1" t="str">
        <v>Tm Tratadas</v>
      </c>
      <c r="E164" s="46">
        <v>40000</v>
      </c>
      <c r="F164" s="46">
        <v>809599.99999999988</v>
      </c>
      <c r="G164" s="46">
        <f t="array" ref="G164:G169">D111:D116</f>
        <v>2939350.3074707473</v>
      </c>
      <c r="H164" s="46">
        <f t="shared" si="13"/>
        <v>3748950.3074707473</v>
      </c>
      <c r="I164" s="149" t="str">
        <f>D164</f>
        <v>Tm Tratadas</v>
      </c>
      <c r="J164" s="149">
        <f>SUM(E164:E169)</f>
        <v>45631</v>
      </c>
      <c r="K164" s="149">
        <f>SUM(F164:F169)</f>
        <v>809599.99999999988</v>
      </c>
      <c r="L164" s="151">
        <f>SUM(G164:G169)</f>
        <v>3590544</v>
      </c>
      <c r="M164" s="151">
        <f>SUM(H164:H169)</f>
        <v>4400144.0000000009</v>
      </c>
    </row>
    <row r="165" spans="1:13" hidden="1" x14ac:dyDescent="0.25">
      <c r="A165" s="118">
        <v>0</v>
      </c>
      <c r="B165" s="2" t="str">
        <v>4.b. Tratamiento de Envases</v>
      </c>
      <c r="C165" s="2" t="str">
        <v>N2</v>
      </c>
      <c r="D165" s="1" t="str">
        <v>Tm Tratadas</v>
      </c>
      <c r="E165" s="46">
        <v>900</v>
      </c>
      <c r="F165" s="46">
        <v>0</v>
      </c>
      <c r="G165" s="46">
        <v>162457.64032403243</v>
      </c>
      <c r="H165" s="46">
        <f t="shared" si="13"/>
        <v>162457.64032403243</v>
      </c>
      <c r="I165" s="150"/>
      <c r="J165" s="150"/>
      <c r="K165" s="150"/>
      <c r="L165" s="152"/>
      <c r="M165" s="152"/>
    </row>
    <row r="166" spans="1:13" hidden="1" x14ac:dyDescent="0.25">
      <c r="A166" s="118">
        <v>0</v>
      </c>
      <c r="B166" s="2" t="str">
        <v>4.c. Tratamiento de Vidrio</v>
      </c>
      <c r="C166" s="2" t="str">
        <v>N2</v>
      </c>
      <c r="D166" s="1" t="str">
        <v>Tm Tratadas</v>
      </c>
      <c r="E166" s="46">
        <v>3574.25</v>
      </c>
      <c r="F166" s="46">
        <v>0</v>
      </c>
      <c r="G166" s="46">
        <v>134155.21998199821</v>
      </c>
      <c r="H166" s="46">
        <f t="shared" si="13"/>
        <v>134155.21998199821</v>
      </c>
      <c r="I166" s="150"/>
      <c r="J166" s="150"/>
      <c r="K166" s="150"/>
      <c r="L166" s="152"/>
      <c r="M166" s="152"/>
    </row>
    <row r="167" spans="1:13" hidden="1" x14ac:dyDescent="0.25">
      <c r="A167" s="118">
        <v>0</v>
      </c>
      <c r="B167" s="2" t="str">
        <v>4.d. Tratamiento de Papel Cartón</v>
      </c>
      <c r="C167" s="2" t="str">
        <v>N2</v>
      </c>
      <c r="D167" s="1" t="str">
        <v>Tm Tratadas</v>
      </c>
      <c r="E167" s="46">
        <v>744</v>
      </c>
      <c r="F167" s="46">
        <v>0</v>
      </c>
      <c r="G167" s="46">
        <v>202858.3287128713</v>
      </c>
      <c r="H167" s="46">
        <f t="shared" si="13"/>
        <v>202858.3287128713</v>
      </c>
      <c r="I167" s="150"/>
      <c r="J167" s="150"/>
      <c r="K167" s="150"/>
      <c r="L167" s="152"/>
      <c r="M167" s="152"/>
    </row>
    <row r="168" spans="1:13" hidden="1" x14ac:dyDescent="0.25">
      <c r="A168" s="118">
        <v>0</v>
      </c>
      <c r="B168" s="2" t="str">
        <v>4.e. Tratamiento de Pilas</v>
      </c>
      <c r="C168" s="2" t="str">
        <v>N2</v>
      </c>
      <c r="D168" s="1" t="str">
        <v>Tm Tratadas</v>
      </c>
      <c r="E168" s="46">
        <v>12.75</v>
      </c>
      <c r="F168" s="46">
        <v>0</v>
      </c>
      <c r="G168" s="46">
        <v>2458.300090009001</v>
      </c>
      <c r="H168" s="46">
        <f t="shared" si="13"/>
        <v>2458.300090009001</v>
      </c>
      <c r="I168" s="150"/>
      <c r="J168" s="150"/>
      <c r="K168" s="150"/>
      <c r="L168" s="152"/>
      <c r="M168" s="152"/>
    </row>
    <row r="169" spans="1:13" hidden="1" x14ac:dyDescent="0.25">
      <c r="A169" s="118">
        <v>0</v>
      </c>
      <c r="B169" s="2" t="str">
        <v>4.f. Tratamiento de Voluminosos-Enseres- Vehículos</v>
      </c>
      <c r="C169" s="2" t="str">
        <v>N2</v>
      </c>
      <c r="D169" s="1" t="str">
        <v>Tm Tratadas</v>
      </c>
      <c r="E169" s="46">
        <v>400</v>
      </c>
      <c r="F169" s="46">
        <v>0</v>
      </c>
      <c r="G169" s="46">
        <v>149264.20342034206</v>
      </c>
      <c r="H169" s="46">
        <f t="shared" si="13"/>
        <v>149264.20342034206</v>
      </c>
      <c r="I169" s="150"/>
      <c r="J169" s="150"/>
      <c r="K169" s="150"/>
      <c r="L169" s="153"/>
      <c r="M169" s="153"/>
    </row>
    <row r="170" spans="1:13" hidden="1" x14ac:dyDescent="0.25">
      <c r="A170" s="113" t="str">
        <v>5. Eliminación</v>
      </c>
      <c r="B170" s="2" t="str">
        <v>5.a Transferencia de materiales recuperados para reutilización-Reciclaje</v>
      </c>
      <c r="C170" s="2" t="str">
        <v>N3</v>
      </c>
      <c r="D170" s="1" t="str">
        <v>Tm Transferidas</v>
      </c>
      <c r="E170" s="46">
        <v>20404.817500000001</v>
      </c>
      <c r="F170" s="46">
        <v>0</v>
      </c>
      <c r="G170" s="46">
        <f t="array" ref="G170:G172">D144:D146</f>
        <v>1941641.2763222326</v>
      </c>
      <c r="H170" s="46">
        <f t="shared" si="13"/>
        <v>1941641.2763222326</v>
      </c>
      <c r="I170" s="149" t="s">
        <v>65</v>
      </c>
      <c r="J170" s="149">
        <f>SUM(E170:E172)</f>
        <v>45631</v>
      </c>
      <c r="K170" s="149">
        <f>SUM(F170:F172)</f>
        <v>0</v>
      </c>
      <c r="L170" s="151">
        <f>SUM(G170:G172)</f>
        <v>4400144</v>
      </c>
      <c r="M170" s="151">
        <f>SUM(H170:H172)</f>
        <v>4400144</v>
      </c>
    </row>
    <row r="171" spans="1:13" hidden="1" x14ac:dyDescent="0.25">
      <c r="A171" s="118">
        <v>0</v>
      </c>
      <c r="B171" s="2" t="str">
        <v>5.b. Transferencia de energía generada</v>
      </c>
      <c r="C171" s="2" t="str">
        <v>N3</v>
      </c>
      <c r="D171" s="1" t="str">
        <v>Kw transferidos</v>
      </c>
      <c r="E171" s="46">
        <v>8000</v>
      </c>
      <c r="F171" s="46">
        <v>0</v>
      </c>
      <c r="G171" s="46">
        <v>749790.0614941495</v>
      </c>
      <c r="H171" s="46">
        <f t="shared" si="13"/>
        <v>749790.0614941495</v>
      </c>
      <c r="I171" s="150"/>
      <c r="J171" s="150"/>
      <c r="K171" s="150"/>
      <c r="L171" s="152"/>
      <c r="M171" s="152"/>
    </row>
    <row r="172" spans="1:13" hidden="1" x14ac:dyDescent="0.25">
      <c r="A172" s="119">
        <v>0</v>
      </c>
      <c r="B172" s="2" t="str">
        <v>5.c. Eliminación-Depósito en vertedero</v>
      </c>
      <c r="C172" s="2" t="str">
        <v>N3</v>
      </c>
      <c r="D172" s="1" t="str">
        <v>Tm Transferidas</v>
      </c>
      <c r="E172" s="46">
        <v>17226.182499999999</v>
      </c>
      <c r="F172" s="46">
        <v>0</v>
      </c>
      <c r="G172" s="46">
        <v>1708712.6621836184</v>
      </c>
      <c r="H172" s="46">
        <f t="shared" si="13"/>
        <v>1708712.6621836184</v>
      </c>
      <c r="I172" s="150"/>
      <c r="J172" s="150"/>
      <c r="K172" s="150"/>
      <c r="L172" s="153"/>
      <c r="M172" s="153"/>
    </row>
    <row r="173" spans="1:13" hidden="1" x14ac:dyDescent="0.25">
      <c r="A173" s="120"/>
      <c r="B173" s="120"/>
      <c r="C173" s="120"/>
      <c r="D173" s="120"/>
      <c r="E173" s="120"/>
      <c r="F173" s="120"/>
      <c r="G173" s="120"/>
      <c r="H173" s="120"/>
      <c r="I173" s="120"/>
    </row>
    <row r="174" spans="1:13" hidden="1" x14ac:dyDescent="0.25"/>
    <row r="175" spans="1:13" ht="45.75" thickBot="1" x14ac:dyDescent="0.3">
      <c r="B175" s="72" t="str">
        <f t="array" ref="B175:B192">A155:A172</f>
        <v>Prestación</v>
      </c>
      <c r="C175" s="4" t="s">
        <v>132</v>
      </c>
      <c r="D175" s="4" t="s">
        <v>133</v>
      </c>
      <c r="E175" s="4" t="s">
        <v>134</v>
      </c>
    </row>
    <row r="176" spans="1:13" x14ac:dyDescent="0.25">
      <c r="B176" s="138" t="str">
        <v>1. Recogida (RSD). Servicio diario de recogida selectiva domiciliaria de envases y orgánica + restos</v>
      </c>
      <c r="C176" s="144">
        <f>M156</f>
        <v>3101807.9477947797</v>
      </c>
      <c r="D176" s="135">
        <f>C176/$C$193</f>
        <v>0.70493328122779153</v>
      </c>
      <c r="E176" s="135">
        <f>SUM($D$176:D176)</f>
        <v>0.70493328122779153</v>
      </c>
    </row>
    <row r="177" spans="2:5" x14ac:dyDescent="0.25">
      <c r="B177" s="139">
        <v>0</v>
      </c>
      <c r="C177" s="145"/>
      <c r="D177" s="136"/>
      <c r="E177" s="136"/>
    </row>
    <row r="178" spans="2:5" ht="15.75" thickBot="1" x14ac:dyDescent="0.3">
      <c r="B178" s="140">
        <v>0</v>
      </c>
      <c r="C178" s="146"/>
      <c r="D178" s="137"/>
      <c r="E178" s="137"/>
    </row>
    <row r="179" spans="2:5" x14ac:dyDescent="0.25">
      <c r="B179" s="138" t="str">
        <v>2. Recogida selectiva de aportación: vidrio, pilas y papel-cartón</v>
      </c>
      <c r="C179" s="147">
        <f>M159</f>
        <v>339471.84878487856</v>
      </c>
      <c r="D179" s="132">
        <f>C179/$C$193</f>
        <v>7.7150167991065416E-2</v>
      </c>
      <c r="E179" s="132">
        <f>SUM($D$176:D179)</f>
        <v>0.78208344921885697</v>
      </c>
    </row>
    <row r="180" spans="2:5" x14ac:dyDescent="0.25">
      <c r="B180" s="139">
        <v>0</v>
      </c>
      <c r="C180" s="118"/>
      <c r="D180" s="133"/>
      <c r="E180" s="133"/>
    </row>
    <row r="181" spans="2:5" x14ac:dyDescent="0.25">
      <c r="B181" s="139">
        <v>0</v>
      </c>
      <c r="C181" s="118"/>
      <c r="D181" s="133"/>
      <c r="E181" s="133"/>
    </row>
    <row r="182" spans="2:5" ht="15.75" thickBot="1" x14ac:dyDescent="0.3">
      <c r="B182" s="140">
        <v>0</v>
      </c>
      <c r="C182" s="148"/>
      <c r="D182" s="134"/>
      <c r="E182" s="134"/>
    </row>
    <row r="183" spans="2:5" ht="19.5" customHeight="1" thickBot="1" x14ac:dyDescent="0.3">
      <c r="B183" s="73" t="str">
        <v>3. Recogida de voluminosos</v>
      </c>
      <c r="C183" s="74">
        <f>M163</f>
        <v>149264.20342034206</v>
      </c>
      <c r="D183" s="96">
        <f>C183/$C$193</f>
        <v>3.3922572402253666E-2</v>
      </c>
      <c r="E183" s="96">
        <f>SUM($D$176:D183)</f>
        <v>0.81600602162111069</v>
      </c>
    </row>
    <row r="184" spans="2:5" x14ac:dyDescent="0.25">
      <c r="B184" s="141" t="str">
        <v>4.Tratamiento de RSU</v>
      </c>
      <c r="C184" s="147">
        <f>M164</f>
        <v>4400144.0000000009</v>
      </c>
      <c r="D184" s="132">
        <v>0.184</v>
      </c>
      <c r="E184" s="132">
        <v>1</v>
      </c>
    </row>
    <row r="185" spans="2:5" x14ac:dyDescent="0.25">
      <c r="B185" s="142">
        <v>0</v>
      </c>
      <c r="C185" s="118"/>
      <c r="D185" s="133"/>
      <c r="E185" s="133"/>
    </row>
    <row r="186" spans="2:5" x14ac:dyDescent="0.25">
      <c r="B186" s="142">
        <v>0</v>
      </c>
      <c r="C186" s="118"/>
      <c r="D186" s="133"/>
      <c r="E186" s="133"/>
    </row>
    <row r="187" spans="2:5" x14ac:dyDescent="0.25">
      <c r="B187" s="142">
        <v>0</v>
      </c>
      <c r="C187" s="118"/>
      <c r="D187" s="133"/>
      <c r="E187" s="133"/>
    </row>
    <row r="188" spans="2:5" x14ac:dyDescent="0.25">
      <c r="B188" s="142">
        <v>0</v>
      </c>
      <c r="C188" s="118"/>
      <c r="D188" s="133"/>
      <c r="E188" s="133"/>
    </row>
    <row r="189" spans="2:5" ht="15.75" thickBot="1" x14ac:dyDescent="0.3">
      <c r="B189" s="143">
        <v>0</v>
      </c>
      <c r="C189" s="148"/>
      <c r="D189" s="134"/>
      <c r="E189" s="134"/>
    </row>
    <row r="190" spans="2:5" x14ac:dyDescent="0.25">
      <c r="B190" s="141" t="str">
        <v>5. Eliminación</v>
      </c>
      <c r="C190" s="144">
        <f>M170</f>
        <v>4400144</v>
      </c>
      <c r="D190" s="135">
        <v>0</v>
      </c>
      <c r="E190" s="135">
        <f>SUM($D$176:D190)</f>
        <v>1.0000060216211106</v>
      </c>
    </row>
    <row r="191" spans="2:5" x14ac:dyDescent="0.25">
      <c r="B191" s="142">
        <v>0</v>
      </c>
      <c r="C191" s="145"/>
      <c r="D191" s="136"/>
      <c r="E191" s="136"/>
    </row>
    <row r="192" spans="2:5" ht="15.75" thickBot="1" x14ac:dyDescent="0.3">
      <c r="B192" s="143">
        <v>0</v>
      </c>
      <c r="C192" s="146"/>
      <c r="D192" s="137"/>
      <c r="E192" s="137"/>
    </row>
    <row r="193" spans="2:8" ht="15.75" thickBot="1" x14ac:dyDescent="0.3">
      <c r="B193" s="98" t="s">
        <v>135</v>
      </c>
      <c r="C193" s="99">
        <f>C190</f>
        <v>4400144</v>
      </c>
      <c r="D193" s="100">
        <f>SUM(D176:D192)</f>
        <v>1.0000060216211106</v>
      </c>
      <c r="E193" s="100">
        <f>MAX(E176:E192)</f>
        <v>1.0000060216211106</v>
      </c>
    </row>
    <row r="194" spans="2:8" x14ac:dyDescent="0.25">
      <c r="B194" s="131" t="s">
        <v>118</v>
      </c>
      <c r="C194" s="131"/>
      <c r="D194" s="131"/>
      <c r="E194" s="131"/>
      <c r="F194" s="97"/>
      <c r="G194" s="97"/>
      <c r="H194" s="97"/>
    </row>
    <row r="195" spans="2:8" x14ac:dyDescent="0.25"/>
    <row r="196" spans="2:8" x14ac:dyDescent="0.25">
      <c r="B196" s="59" t="s">
        <v>98</v>
      </c>
      <c r="C196" s="59"/>
      <c r="D196" s="59"/>
      <c r="E196" s="59"/>
      <c r="F196" s="59"/>
      <c r="G196" s="59"/>
    </row>
    <row r="197" spans="2:8" x14ac:dyDescent="0.25">
      <c r="B197" s="60" t="s">
        <v>117</v>
      </c>
      <c r="C197" s="59"/>
      <c r="D197" s="59"/>
      <c r="E197" s="59"/>
      <c r="F197" s="59"/>
      <c r="G197" s="59"/>
    </row>
    <row r="198" spans="2:8" x14ac:dyDescent="0.25"/>
    <row r="199" spans="2:8" x14ac:dyDescent="0.25"/>
  </sheetData>
  <sheetProtection sheet="1" objects="1" scenarios="1"/>
  <mergeCells count="61">
    <mergeCell ref="B65:J65"/>
    <mergeCell ref="A90:H90"/>
    <mergeCell ref="A125:H125"/>
    <mergeCell ref="A153:H153"/>
    <mergeCell ref="C93:H93"/>
    <mergeCell ref="A130:A137"/>
    <mergeCell ref="A95:A101"/>
    <mergeCell ref="F81:H81"/>
    <mergeCell ref="B82:H82"/>
    <mergeCell ref="B25:G25"/>
    <mergeCell ref="A1:H1"/>
    <mergeCell ref="B53:F53"/>
    <mergeCell ref="A30:H30"/>
    <mergeCell ref="A58:H58"/>
    <mergeCell ref="A159:A162"/>
    <mergeCell ref="A164:A169"/>
    <mergeCell ref="A170:A172"/>
    <mergeCell ref="B148:H148"/>
    <mergeCell ref="B103:I103"/>
    <mergeCell ref="B119:H119"/>
    <mergeCell ref="B138:F138"/>
    <mergeCell ref="C128:E128"/>
    <mergeCell ref="I170:I172"/>
    <mergeCell ref="A156:A158"/>
    <mergeCell ref="B176:B178"/>
    <mergeCell ref="D176:D178"/>
    <mergeCell ref="E176:E178"/>
    <mergeCell ref="M156:M158"/>
    <mergeCell ref="M159:M162"/>
    <mergeCell ref="M164:M169"/>
    <mergeCell ref="M170:M172"/>
    <mergeCell ref="A173:I173"/>
    <mergeCell ref="K156:K158"/>
    <mergeCell ref="L156:L158"/>
    <mergeCell ref="K159:K162"/>
    <mergeCell ref="L159:L162"/>
    <mergeCell ref="K164:K169"/>
    <mergeCell ref="L164:L169"/>
    <mergeCell ref="K170:K172"/>
    <mergeCell ref="L170:L172"/>
    <mergeCell ref="C176:C178"/>
    <mergeCell ref="C179:C182"/>
    <mergeCell ref="C184:C189"/>
    <mergeCell ref="C190:C192"/>
    <mergeCell ref="J156:J158"/>
    <mergeCell ref="J159:J162"/>
    <mergeCell ref="J164:J169"/>
    <mergeCell ref="J170:J172"/>
    <mergeCell ref="I156:I158"/>
    <mergeCell ref="I159:I162"/>
    <mergeCell ref="I164:I169"/>
    <mergeCell ref="B194:E194"/>
    <mergeCell ref="D179:D182"/>
    <mergeCell ref="E179:E182"/>
    <mergeCell ref="D184:D189"/>
    <mergeCell ref="E184:E189"/>
    <mergeCell ref="D190:D192"/>
    <mergeCell ref="E190:E192"/>
    <mergeCell ref="B179:B182"/>
    <mergeCell ref="B184:B189"/>
    <mergeCell ref="B190:B19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22</vt:i4>
      </vt:variant>
    </vt:vector>
  </HeadingPairs>
  <TitlesOfParts>
    <vt:vector size="25" baseType="lpstr">
      <vt:lpstr>Indice</vt:lpstr>
      <vt:lpstr>Enunciado</vt:lpstr>
      <vt:lpstr>Solución</vt:lpstr>
      <vt:lpstr>Apartado1a</vt:lpstr>
      <vt:lpstr>apartado1b</vt:lpstr>
      <vt:lpstr>Apartado2</vt:lpstr>
      <vt:lpstr>Apartado3</vt:lpstr>
      <vt:lpstr>Apartado4</vt:lpstr>
      <vt:lpstr>Apartado5</vt:lpstr>
      <vt:lpstr>SE_PIDE</vt:lpstr>
      <vt:lpstr>Tabla_1</vt:lpstr>
      <vt:lpstr>Tabla_2</vt:lpstr>
      <vt:lpstr>Tabla_3</vt:lpstr>
      <vt:lpstr>Tabla_4</vt:lpstr>
      <vt:lpstr>Tabla_5</vt:lpstr>
      <vt:lpstr>Tabla_X</vt:lpstr>
      <vt:lpstr>TablaSol01</vt:lpstr>
      <vt:lpstr>TablaSol02</vt:lpstr>
      <vt:lpstr>TablaSol03</vt:lpstr>
      <vt:lpstr>TablaSol04</vt:lpstr>
      <vt:lpstr>TablaSol05</vt:lpstr>
      <vt:lpstr>TablaSol06</vt:lpstr>
      <vt:lpstr>TablaSol07</vt:lpstr>
      <vt:lpstr>TablaSol08</vt:lpstr>
      <vt:lpstr>TablaSol09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2015-02-22T13:01:27Z</cp:lastPrinted>
  <dcterms:created xsi:type="dcterms:W3CDTF">2015-01-29T12:30:42Z</dcterms:created>
  <dcterms:modified xsi:type="dcterms:W3CDTF">2015-03-14T18:03:07Z</dcterms:modified>
</cp:coreProperties>
</file>