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TRABAJO\AÑOS\Año2015\ManualPractica\Capitulo 12\Revisión final\"/>
    </mc:Choice>
  </mc:AlternateContent>
  <bookViews>
    <workbookView xWindow="480" yWindow="360" windowWidth="19320" windowHeight="7710" activeTab="2"/>
  </bookViews>
  <sheets>
    <sheet name="Apartado 1" sheetId="1" r:id="rId1"/>
    <sheet name="Apartado 2" sheetId="6" r:id="rId2"/>
    <sheet name="Apartado 3" sheetId="5" r:id="rId3"/>
  </sheets>
  <calcPr calcId="152511"/>
</workbook>
</file>

<file path=xl/calcChain.xml><?xml version="1.0" encoding="utf-8"?>
<calcChain xmlns="http://schemas.openxmlformats.org/spreadsheetml/2006/main">
  <c r="F44" i="5" l="1"/>
  <c r="C51" i="5" s="1"/>
  <c r="E21" i="1" l="1"/>
  <c r="D21" i="1"/>
  <c r="C19" i="1"/>
  <c r="D50" i="5" l="1"/>
  <c r="E50" i="5"/>
  <c r="C50" i="5"/>
  <c r="C24" i="5"/>
  <c r="E49" i="5"/>
  <c r="E23" i="5"/>
  <c r="D49" i="5"/>
  <c r="D23" i="5"/>
  <c r="C49" i="5"/>
  <c r="C23" i="5"/>
  <c r="D48" i="5"/>
  <c r="E48" i="5"/>
  <c r="C48" i="5"/>
  <c r="C22" i="5"/>
  <c r="D47" i="5"/>
  <c r="E47" i="5"/>
  <c r="C47" i="5"/>
  <c r="C21" i="5"/>
  <c r="D46" i="5"/>
  <c r="E46" i="5"/>
  <c r="C46" i="5"/>
  <c r="C20" i="5"/>
  <c r="D45" i="5"/>
  <c r="C45" i="5"/>
  <c r="C25" i="5"/>
  <c r="D25" i="5"/>
  <c r="C57" i="6"/>
  <c r="C33" i="1"/>
  <c r="C32" i="1"/>
  <c r="E45" i="5" l="1"/>
  <c r="C52" i="5"/>
  <c r="C53" i="5" s="1"/>
  <c r="F52" i="5"/>
  <c r="E51" i="5" s="1"/>
  <c r="E52" i="5" s="1"/>
  <c r="E53" i="5" s="1"/>
  <c r="F48" i="5"/>
  <c r="D51" i="5" s="1"/>
  <c r="D52" i="5" s="1"/>
  <c r="D53" i="5" s="1"/>
  <c r="E25" i="5"/>
  <c r="E24" i="5"/>
  <c r="D24" i="5"/>
  <c r="E22" i="5"/>
  <c r="D22" i="5"/>
  <c r="E21" i="5"/>
  <c r="D21" i="5"/>
  <c r="E20" i="5"/>
  <c r="D20" i="5"/>
  <c r="D19" i="5" s="1"/>
  <c r="E19" i="5"/>
  <c r="C19" i="5"/>
  <c r="C62" i="6"/>
  <c r="C62" i="1"/>
  <c r="D56" i="6"/>
  <c r="C56" i="6" s="1"/>
  <c r="D55" i="6"/>
  <c r="C55" i="6" s="1"/>
  <c r="D54" i="6"/>
  <c r="C60" i="6" s="1"/>
  <c r="F44" i="6"/>
  <c r="E44" i="6"/>
  <c r="D44" i="6"/>
  <c r="C44" i="6"/>
  <c r="E43" i="6"/>
  <c r="F43" i="6"/>
  <c r="D43" i="6"/>
  <c r="C43" i="6"/>
  <c r="F42" i="6"/>
  <c r="E42" i="6"/>
  <c r="D42" i="6"/>
  <c r="C42" i="6"/>
  <c r="E41" i="6"/>
  <c r="F41" i="6"/>
  <c r="D41" i="6"/>
  <c r="C41" i="6"/>
  <c r="F40" i="6"/>
  <c r="E40" i="6"/>
  <c r="D40" i="6"/>
  <c r="C40" i="6"/>
  <c r="F39" i="6"/>
  <c r="E39" i="6"/>
  <c r="E38" i="6" s="1"/>
  <c r="D39" i="6"/>
  <c r="C39" i="6"/>
  <c r="C38" i="6" s="1"/>
  <c r="D38" i="6"/>
  <c r="F30" i="6"/>
  <c r="F29" i="6"/>
  <c r="F27" i="6"/>
  <c r="F28" i="6"/>
  <c r="D30" i="6"/>
  <c r="D29" i="6"/>
  <c r="D28" i="6"/>
  <c r="D26" i="6" s="1"/>
  <c r="D27" i="6"/>
  <c r="C30" i="6"/>
  <c r="E30" i="6" s="1"/>
  <c r="C29" i="6"/>
  <c r="E29" i="6" s="1"/>
  <c r="C28" i="6"/>
  <c r="C26" i="6" s="1"/>
  <c r="C31" i="6" s="1"/>
  <c r="C27" i="6"/>
  <c r="E27" i="6" s="1"/>
  <c r="E25" i="6"/>
  <c r="F25" i="6"/>
  <c r="D25" i="6"/>
  <c r="D31" i="6" s="1"/>
  <c r="C25" i="6"/>
  <c r="F26" i="6"/>
  <c r="F31" i="6" s="1"/>
  <c r="C55" i="1"/>
  <c r="D54" i="1"/>
  <c r="C54" i="1" s="1"/>
  <c r="F38" i="6" l="1"/>
  <c r="C61" i="6" s="1"/>
  <c r="C63" i="6" s="1"/>
  <c r="C54" i="6"/>
  <c r="E54" i="6" s="1"/>
  <c r="E55" i="6" s="1"/>
  <c r="E56" i="6" s="1"/>
  <c r="E57" i="6" s="1"/>
  <c r="D54" i="5"/>
  <c r="C54" i="5"/>
  <c r="E54" i="5"/>
  <c r="E28" i="6"/>
  <c r="E26" i="6" s="1"/>
  <c r="E31" i="6" s="1"/>
  <c r="D26" i="5"/>
  <c r="D27" i="5" s="1"/>
  <c r="E26" i="5"/>
  <c r="E27" i="5" s="1"/>
  <c r="C35" i="5" s="1"/>
  <c r="C39" i="5" s="1"/>
  <c r="F45" i="6"/>
  <c r="F46" i="6" s="1"/>
  <c r="E45" i="6"/>
  <c r="E46" i="6" s="1"/>
  <c r="D45" i="6"/>
  <c r="D46" i="6" s="1"/>
  <c r="C45" i="6"/>
  <c r="C46" i="6" s="1"/>
  <c r="D36" i="1"/>
  <c r="E36" i="1"/>
  <c r="C36" i="1"/>
  <c r="E35" i="1"/>
  <c r="D35" i="1"/>
  <c r="C35" i="1"/>
  <c r="D34" i="1"/>
  <c r="E34" i="1"/>
  <c r="C34" i="1"/>
  <c r="D33" i="1"/>
  <c r="E33" i="1"/>
  <c r="D32" i="1"/>
  <c r="E32" i="1"/>
  <c r="E23" i="1"/>
  <c r="E22" i="1"/>
  <c r="C22" i="1"/>
  <c r="C21" i="1"/>
  <c r="E19" i="1"/>
  <c r="F19" i="1"/>
  <c r="E20" i="1" l="1"/>
  <c r="E24" i="1" s="1"/>
  <c r="D53" i="1"/>
  <c r="D37" i="1"/>
  <c r="E37" i="1"/>
  <c r="C37" i="1"/>
  <c r="C53" i="1" l="1"/>
  <c r="E53" i="1" s="1"/>
  <c r="E54" i="1" s="1"/>
  <c r="C60" i="1"/>
  <c r="E31" i="1"/>
  <c r="E38" i="1" s="1"/>
  <c r="E39" i="1" s="1"/>
  <c r="C23" i="1"/>
  <c r="C31" i="1" l="1"/>
  <c r="C38" i="1" s="1"/>
  <c r="C39" i="1" s="1"/>
  <c r="D31" i="1"/>
  <c r="C20" i="1"/>
  <c r="C24" i="1" s="1"/>
  <c r="D38" i="1" l="1"/>
  <c r="D39" i="1" s="1"/>
  <c r="C61" i="1"/>
  <c r="C63" i="1" s="1"/>
  <c r="E40" i="1"/>
  <c r="D40" i="1"/>
  <c r="C40" i="1"/>
  <c r="F23" i="1"/>
  <c r="D23" i="1"/>
  <c r="F22" i="1"/>
  <c r="D22" i="1"/>
  <c r="F21" i="1"/>
  <c r="D19" i="1"/>
  <c r="B54" i="1" l="1"/>
  <c r="B53" i="1"/>
  <c r="B55" i="1"/>
  <c r="D20" i="1"/>
  <c r="D24" i="1" s="1"/>
  <c r="F20" i="1"/>
  <c r="F24" i="1" s="1"/>
  <c r="E55" i="1" l="1"/>
  <c r="C26" i="5"/>
  <c r="C27" i="5" s="1"/>
  <c r="D28" i="5" s="1"/>
  <c r="C28" i="5" l="1"/>
  <c r="E28" i="5"/>
</calcChain>
</file>

<file path=xl/sharedStrings.xml><?xml version="1.0" encoding="utf-8"?>
<sst xmlns="http://schemas.openxmlformats.org/spreadsheetml/2006/main" count="212" uniqueCount="109">
  <si>
    <t>DATOS DEL EJERCICIO</t>
  </si>
  <si>
    <t>Toalla</t>
  </si>
  <si>
    <t>Precio venta</t>
  </si>
  <si>
    <t>Hilatura</t>
  </si>
  <si>
    <t xml:space="preserve">Toalla </t>
  </si>
  <si>
    <t>J. Sábanas</t>
  </si>
  <si>
    <r>
      <t xml:space="preserve">Tejido y confección </t>
    </r>
    <r>
      <rPr>
        <sz val="11"/>
        <color theme="1"/>
        <rFont val="Calibri"/>
        <family val="2"/>
        <scheme val="minor"/>
      </rPr>
      <t>(min/ud)</t>
    </r>
  </si>
  <si>
    <r>
      <t xml:space="preserve">Precio venta </t>
    </r>
    <r>
      <rPr>
        <sz val="11"/>
        <color theme="1"/>
        <rFont val="Calibri"/>
        <family val="2"/>
        <scheme val="minor"/>
      </rPr>
      <t>(€)</t>
    </r>
  </si>
  <si>
    <r>
      <t xml:space="preserve">Demanda máxima mensual </t>
    </r>
    <r>
      <rPr>
        <sz val="11"/>
        <color theme="1"/>
        <rFont val="Calibri"/>
        <family val="2"/>
        <scheme val="minor"/>
      </rPr>
      <t>(Uds./mes)</t>
    </r>
  </si>
  <si>
    <r>
      <t xml:space="preserve">Consumo MP </t>
    </r>
    <r>
      <rPr>
        <sz val="11"/>
        <color theme="1"/>
        <rFont val="Calibri"/>
        <family val="2"/>
        <scheme val="minor"/>
      </rPr>
      <t>(kg algodón/ud)</t>
    </r>
  </si>
  <si>
    <r>
      <t xml:space="preserve">Hilatura </t>
    </r>
    <r>
      <rPr>
        <sz val="11"/>
        <color theme="1"/>
        <rFont val="Calibri"/>
        <family val="2"/>
        <scheme val="minor"/>
      </rPr>
      <t>(min/ud.)</t>
    </r>
  </si>
  <si>
    <t>Tejido y confección</t>
  </si>
  <si>
    <t>PRODUCTOS</t>
  </si>
  <si>
    <t>PROCESOS</t>
  </si>
  <si>
    <t>Cap. Necesaria:</t>
  </si>
  <si>
    <t xml:space="preserve">        Toallas</t>
  </si>
  <si>
    <t xml:space="preserve">        J. Sábanas</t>
  </si>
  <si>
    <t>Disponible-Necesaria</t>
  </si>
  <si>
    <t xml:space="preserve">Cap. Máxima disponible </t>
  </si>
  <si>
    <t>Suministro algodón (kgs/mes)</t>
  </si>
  <si>
    <t>Hilatura (min/mes)</t>
  </si>
  <si>
    <t>Tejido y confección (min/mes)</t>
  </si>
  <si>
    <t>Coste variable unitario</t>
  </si>
  <si>
    <t>Margen contribución</t>
  </si>
  <si>
    <t>M. Contrib./ud. Rec. Escaso</t>
  </si>
  <si>
    <t>Orden fabricación</t>
  </si>
  <si>
    <t>Una vez establecido el orden de producción, se elabora el plan de producción:</t>
  </si>
  <si>
    <t>Producción</t>
  </si>
  <si>
    <t>Producto</t>
  </si>
  <si>
    <t>Interpretación:</t>
  </si>
  <si>
    <t>Oferta</t>
  </si>
  <si>
    <t>Precio</t>
  </si>
  <si>
    <t>Cantidad</t>
  </si>
  <si>
    <r>
      <t>Teñido</t>
    </r>
    <r>
      <rPr>
        <sz val="11"/>
        <color theme="1"/>
        <rFont val="Calibri"/>
        <family val="2"/>
        <scheme val="minor"/>
      </rPr>
      <t xml:space="preserve"> (min/100 kg hilo)</t>
    </r>
  </si>
  <si>
    <t>Teñido</t>
  </si>
  <si>
    <t>DATOS PROVEEDORES</t>
  </si>
  <si>
    <r>
      <t xml:space="preserve">Precio algodón </t>
    </r>
    <r>
      <rPr>
        <sz val="11"/>
        <color theme="1"/>
        <rFont val="Calibri"/>
        <family val="2"/>
        <scheme val="minor"/>
      </rPr>
      <t>(€/100 kgs)</t>
    </r>
  </si>
  <si>
    <r>
      <t xml:space="preserve">Precio Tinte </t>
    </r>
    <r>
      <rPr>
        <sz val="11"/>
        <color theme="1"/>
        <rFont val="Calibri"/>
        <family val="2"/>
        <scheme val="minor"/>
      </rPr>
      <t>(€/100kgs)</t>
    </r>
  </si>
  <si>
    <r>
      <t xml:space="preserve">Cap. Máxima proveedor </t>
    </r>
    <r>
      <rPr>
        <sz val="11"/>
        <color theme="1"/>
        <rFont val="Calibri"/>
        <family val="2"/>
        <scheme val="minor"/>
      </rPr>
      <t>(kgs algodón/mes)</t>
    </r>
  </si>
  <si>
    <r>
      <t>Cap. Máxima mensual</t>
    </r>
    <r>
      <rPr>
        <sz val="11"/>
        <color theme="1"/>
        <rFont val="Calibri"/>
        <family val="2"/>
        <scheme val="minor"/>
      </rPr>
      <t xml:space="preserve"> (horas/máquina)</t>
    </r>
  </si>
  <si>
    <r>
      <t xml:space="preserve">Coste Fijos </t>
    </r>
    <r>
      <rPr>
        <sz val="11"/>
        <color theme="1"/>
        <rFont val="Calibri"/>
        <family val="2"/>
        <scheme val="minor"/>
      </rPr>
      <t>(€/mes)</t>
    </r>
  </si>
  <si>
    <t>Tejido y confección es el recurso limitante escaso</t>
  </si>
  <si>
    <t xml:space="preserve">    Tinte</t>
  </si>
  <si>
    <t xml:space="preserve">    Teñido </t>
  </si>
  <si>
    <t xml:space="preserve">    Hilatura</t>
  </si>
  <si>
    <t xml:space="preserve">   Tejido y confección</t>
  </si>
  <si>
    <t xml:space="preserve">    Algodón </t>
  </si>
  <si>
    <t>Mantelería</t>
  </si>
  <si>
    <t>Matelería</t>
  </si>
  <si>
    <t>Primero, analizamos si existe algún recurso limitante escaso. En caso de que lo haya, identificamos cuál es.</t>
  </si>
  <si>
    <t>Cálculo del margen de contribución por unidad de recurso escaso para cada producto, en base al recurso escaso identificado.</t>
  </si>
  <si>
    <t>Una vez calculado, establecemos el orden de producción de los productos. El primer producto a fabricar será el que tenga un mayor margen de</t>
  </si>
  <si>
    <t xml:space="preserve">A pesar de que los juegos de sábanas tienen un margen de contribución mayor que los otros dos productos, cuando se analiza la situación </t>
  </si>
  <si>
    <t>Min. Tejido y confección restantes</t>
  </si>
  <si>
    <t>Primero, debemos identificar cuál sería el producto que dejaríamos de fabricar si aceptamos la oferta.</t>
  </si>
  <si>
    <t xml:space="preserve">        Mantelería'</t>
  </si>
  <si>
    <t xml:space="preserve">        Mantelería</t>
  </si>
  <si>
    <t>Teñido (min/mes)</t>
  </si>
  <si>
    <t>Recalculamos ahora el margen de contribución por unidad de recurso escaso de las mantelerías de la oferta</t>
  </si>
  <si>
    <t>Mantelería'</t>
  </si>
  <si>
    <t>1º</t>
  </si>
  <si>
    <t>2º</t>
  </si>
  <si>
    <t>3º</t>
  </si>
  <si>
    <t>4º</t>
  </si>
  <si>
    <t xml:space="preserve">A la empresa le interesaría dejar de fabricar toallas y aceptar la oferta, pues las mantelerías de la oferta tiene un margen de contribución por </t>
  </si>
  <si>
    <t>El nuevo plan de producción sería:</t>
  </si>
  <si>
    <t>En base a este plan, el resultado esperado por la empresa para el próximo mes sería:</t>
  </si>
  <si>
    <t>Ingresos por ventas</t>
  </si>
  <si>
    <t>Costes variables</t>
  </si>
  <si>
    <t>Costes fijos</t>
  </si>
  <si>
    <t>Resultado</t>
  </si>
  <si>
    <t>En base a este nuevo plan, el resultado esperado por la empresa para el próximo mes sería:</t>
  </si>
  <si>
    <t>Precio Mantelería</t>
  </si>
  <si>
    <t>Precio Toalla</t>
  </si>
  <si>
    <t>Precio Juego Sábanas</t>
  </si>
  <si>
    <t>MCURE(Toallas)=(P(toalla)-11,42)/8</t>
  </si>
  <si>
    <t>Si Precio (toallas)&gt;17,35--&gt;Interesan más las toallas que las sábanas</t>
  </si>
  <si>
    <t>Si Precio (taollas)&lt;17,35--&gt;Interesan más las sábanas que las toallas</t>
  </si>
  <si>
    <t>Igualando ambos márgenes de contribución y despejando P(toallas)</t>
  </si>
  <si>
    <t>APARTADO 1: PLAN DE PRODUCCIÓN</t>
  </si>
  <si>
    <t>contribución por unidad de recurso escaso, y así sucesivamente.</t>
  </si>
  <si>
    <t xml:space="preserve">   Proceso hilatura</t>
  </si>
  <si>
    <t xml:space="preserve">   Proceso teñido </t>
  </si>
  <si>
    <t xml:space="preserve">  Proceso tejido y confección</t>
  </si>
  <si>
    <t>considerando el recurso escaso se observa que este producto contribuye en menor medida por cada minuto consumido del proceso</t>
  </si>
  <si>
    <t>de tejido y confección (0,74€/min) que las mantelerías (0,79€/min). Las toallas son el producto que menor margen de contribución por</t>
  </si>
  <si>
    <t>unidad de recurso escaso tiene, por lo que será el último en fabricarse.</t>
  </si>
  <si>
    <t>Por tanto, interesa fabricar para satisfacer primero la demanda de mantelerías, después los juegos de sábanas y por último, las toallas.</t>
  </si>
  <si>
    <t>Cada minuto de tejido y confección consumido aporta el margen de contribución por unidad de recurso escaso de cada producto.</t>
  </si>
  <si>
    <t>Min tejido y confección consumidos</t>
  </si>
  <si>
    <t>APARTADO 2: ANALIZAR SI SE ACEPTA LA OFERTA</t>
  </si>
  <si>
    <t>Como la oferta es de mantelerías (el mejor producto), para poder aceptarla tendríamos que dejar de fabricar los productos que le sgiuen en</t>
  </si>
  <si>
    <t xml:space="preserve"> importancia en el plan de producción obtenido en el apartado 1, es decir, toallas (el peor) y juegos de sábanas (el intermedio), es este orden.</t>
  </si>
  <si>
    <t>Analizamos si el recurso limitante escaso es el mismo o aparecen otros</t>
  </si>
  <si>
    <t>Una vez calculadas, las comparamos con el de las toallas (el peor), para ver si debemos dejar de fabricarlas para aceptar la oferta.</t>
  </si>
  <si>
    <t>unidad de recurso escaso mayor que el de las toallas. Sin embargo, no le compensaría dejar de fabricar juegos de sábanas.</t>
  </si>
  <si>
    <t>limitante escaso.</t>
  </si>
  <si>
    <t>Se observa que el resultado mejora al haber aceptado la oferta, ya que dejamos de fabricar toallas para fabricar las mantelerías del pedido</t>
  </si>
  <si>
    <t>adicional que nos aportan un margen de contribución por unidad de recurso escaso mayor.</t>
  </si>
  <si>
    <t>Recordemos que el producto menos interesante eran las toallas. En segundo lugar, se encontraban las sábanas</t>
  </si>
  <si>
    <t>Retomamos el cálculo de los márgenes de contribución de cada producto en el apartado 1.</t>
  </si>
  <si>
    <t>MCURE(Toallas)=(PV(toalla)-Cvble(toalla))/min tejido y confeccion(toallas)</t>
  </si>
  <si>
    <t>Este es el margen de contribución por unidad de recurso escaso que marcará el punto de corte.</t>
  </si>
  <si>
    <t>APARTADO 3: CÁLCULO PRECIO PRODUCTO MENOS INTERESANTE PARA SER EL SEGUNDO</t>
  </si>
  <si>
    <r>
      <t xml:space="preserve">Coste procesos </t>
    </r>
    <r>
      <rPr>
        <sz val="11"/>
        <color theme="1"/>
        <rFont val="Calibri"/>
        <family val="2"/>
        <scheme val="minor"/>
      </rPr>
      <t>(€/ hora máq)</t>
    </r>
  </si>
  <si>
    <t>Tejido y confección sigue siendo el único recurso</t>
  </si>
  <si>
    <t>Expresamos el margen de contribución (MCURE) de las toallas en función de su precio:</t>
  </si>
  <si>
    <t>MCURE(Sábanas)=</t>
  </si>
  <si>
    <t>P(toallas)=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</si>
</sst>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#,##0_ ;\-#,##0\ "/>
    <numFmt numFmtId="166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4" fontId="0" fillId="0" borderId="0" xfId="0" applyNumberFormat="1"/>
    <xf numFmtId="0" fontId="0" fillId="0" borderId="1" xfId="0" applyBorder="1" applyAlignment="1">
      <alignment wrapText="1"/>
    </xf>
    <xf numFmtId="43" fontId="0" fillId="0" borderId="1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1" xfId="0" applyNumberFormat="1" applyBorder="1"/>
    <xf numFmtId="0" fontId="4" fillId="0" borderId="1" xfId="0" applyFont="1" applyBorder="1"/>
    <xf numFmtId="0" fontId="2" fillId="0" borderId="1" xfId="0" applyFont="1" applyBorder="1" applyAlignment="1">
      <alignment vertical="center" wrapText="1"/>
    </xf>
    <xf numFmtId="0" fontId="0" fillId="0" borderId="0" xfId="0" applyFont="1" applyFill="1" applyBorder="1"/>
    <xf numFmtId="0" fontId="2" fillId="0" borderId="0" xfId="0" applyFont="1"/>
    <xf numFmtId="0" fontId="0" fillId="0" borderId="1" xfId="0" applyFill="1" applyBorder="1"/>
    <xf numFmtId="0" fontId="0" fillId="0" borderId="1" xfId="0" applyFont="1" applyFill="1" applyBorder="1"/>
    <xf numFmtId="43" fontId="0" fillId="0" borderId="1" xfId="0" applyNumberFormat="1" applyFont="1" applyBorder="1"/>
    <xf numFmtId="3" fontId="0" fillId="0" borderId="1" xfId="0" applyNumberFormat="1" applyBorder="1" applyAlignment="1">
      <alignment horizontal="center"/>
    </xf>
    <xf numFmtId="0" fontId="5" fillId="0" borderId="0" xfId="0" applyFont="1"/>
    <xf numFmtId="0" fontId="0" fillId="0" borderId="0" xfId="0" applyBorder="1"/>
    <xf numFmtId="43" fontId="0" fillId="0" borderId="0" xfId="1" applyFont="1" applyBorder="1"/>
    <xf numFmtId="0" fontId="2" fillId="3" borderId="1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0" fillId="0" borderId="1" xfId="1" applyNumberFormat="1" applyFont="1" applyBorder="1"/>
    <xf numFmtId="165" fontId="4" fillId="0" borderId="1" xfId="1" applyNumberFormat="1" applyFont="1" applyBorder="1" applyAlignment="1">
      <alignment horizontal="right"/>
    </xf>
    <xf numFmtId="165" fontId="0" fillId="0" borderId="1" xfId="0" applyNumberFormat="1" applyBorder="1"/>
    <xf numFmtId="165" fontId="2" fillId="4" borderId="1" xfId="0" applyNumberFormat="1" applyFont="1" applyFill="1" applyBorder="1"/>
    <xf numFmtId="0" fontId="0" fillId="0" borderId="0" xfId="0" applyFill="1" applyBorder="1"/>
    <xf numFmtId="43" fontId="4" fillId="0" borderId="1" xfId="0" applyNumberFormat="1" applyFont="1" applyBorder="1"/>
    <xf numFmtId="0" fontId="0" fillId="0" borderId="0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3" fontId="0" fillId="0" borderId="1" xfId="0" applyNumberFormat="1" applyBorder="1" applyAlignment="1">
      <alignment vertical="center"/>
    </xf>
    <xf numFmtId="166" fontId="0" fillId="0" borderId="1" xfId="1" applyNumberFormat="1" applyFont="1" applyBorder="1"/>
    <xf numFmtId="164" fontId="0" fillId="0" borderId="1" xfId="0" applyNumberForma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0" fillId="0" borderId="6" xfId="0" applyFill="1" applyBorder="1"/>
    <xf numFmtId="43" fontId="0" fillId="0" borderId="0" xfId="0" applyNumberFormat="1"/>
    <xf numFmtId="166" fontId="0" fillId="0" borderId="0" xfId="0" applyNumberFormat="1"/>
    <xf numFmtId="0" fontId="2" fillId="3" borderId="1" xfId="0" applyFont="1" applyFill="1" applyBorder="1" applyAlignment="1">
      <alignment horizontal="center"/>
    </xf>
    <xf numFmtId="166" fontId="0" fillId="0" borderId="0" xfId="0" applyNumberFormat="1" applyProtection="1"/>
    <xf numFmtId="166" fontId="0" fillId="0" borderId="0" xfId="0" applyNumberFormat="1" applyProtection="1">
      <protection locked="0" hidden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2" fontId="0" fillId="0" borderId="3" xfId="1" applyNumberFormat="1" applyFont="1" applyBorder="1" applyAlignment="1">
      <alignment horizontal="center" vertical="center"/>
    </xf>
    <xf numFmtId="2" fontId="0" fillId="0" borderId="4" xfId="1" applyNumberFormat="1" applyFont="1" applyBorder="1" applyAlignment="1">
      <alignment horizontal="center" vertical="center"/>
    </xf>
    <xf numFmtId="2" fontId="0" fillId="0" borderId="5" xfId="1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croll" dx="18" fmlaLink="$D$55" horiz="1" max="15000" page="10" val="2700"/>
</file>

<file path=xl/ctrlProps/ctrlProp2.xml><?xml version="1.0" encoding="utf-8"?>
<formControlPr xmlns="http://schemas.microsoft.com/office/spreadsheetml/2009/9/main" objectType="Scroll" dx="18" fmlaLink="$E$55" horiz="1" max="15000" page="10" val="6000"/>
</file>

<file path=xl/ctrlProps/ctrlProp3.xml><?xml version="1.0" encoding="utf-8"?>
<formControlPr xmlns="http://schemas.microsoft.com/office/spreadsheetml/2009/9/main" objectType="Scroll" dx="22" fmlaLink="$C$55" horiz="1" max="15000" page="10" val="173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7</xdr:col>
          <xdr:colOff>257175</xdr:colOff>
          <xdr:row>48</xdr:row>
          <xdr:rowOff>180975</xdr:rowOff>
        </xdr:to>
        <xdr:sp macro="" textlink="">
          <xdr:nvSpPr>
            <xdr:cNvPr id="3083" name="Scroll Bar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52</xdr:row>
          <xdr:rowOff>0</xdr:rowOff>
        </xdr:from>
        <xdr:to>
          <xdr:col>7</xdr:col>
          <xdr:colOff>266700</xdr:colOff>
          <xdr:row>52</xdr:row>
          <xdr:rowOff>180975</xdr:rowOff>
        </xdr:to>
        <xdr:sp macro="" textlink="">
          <xdr:nvSpPr>
            <xdr:cNvPr id="3084" name="Scroll Bar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180975</xdr:rowOff>
        </xdr:from>
        <xdr:to>
          <xdr:col>7</xdr:col>
          <xdr:colOff>228600</xdr:colOff>
          <xdr:row>45</xdr:row>
          <xdr:rowOff>0</xdr:rowOff>
        </xdr:to>
        <xdr:sp macro="" textlink="">
          <xdr:nvSpPr>
            <xdr:cNvPr id="3089" name="Scroll Bar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J84"/>
  <sheetViews>
    <sheetView zoomScaleNormal="100" workbookViewId="0">
      <selection activeCell="D52" sqref="D52:E55"/>
    </sheetView>
  </sheetViews>
  <sheetFormatPr baseColWidth="10" defaultRowHeight="15" x14ac:dyDescent="0.25"/>
  <cols>
    <col min="1" max="1" width="3.42578125" customWidth="1"/>
    <col min="2" max="2" width="25" customWidth="1"/>
    <col min="3" max="3" width="12.42578125" bestFit="1" customWidth="1"/>
    <col min="4" max="5" width="12.5703125" bestFit="1" customWidth="1"/>
    <col min="6" max="6" width="11.140625" customWidth="1"/>
    <col min="7" max="7" width="27" customWidth="1"/>
    <col min="8" max="8" width="8" bestFit="1" customWidth="1"/>
    <col min="9" max="9" width="8.140625" customWidth="1"/>
    <col min="10" max="10" width="10.5703125" bestFit="1" customWidth="1"/>
  </cols>
  <sheetData>
    <row r="2" spans="2:10" ht="15.75" x14ac:dyDescent="0.25">
      <c r="B2" s="51" t="s">
        <v>0</v>
      </c>
      <c r="C2" s="51"/>
      <c r="D2" s="51"/>
      <c r="E2" s="51"/>
      <c r="F2" s="51"/>
      <c r="G2" s="51"/>
      <c r="H2" s="51"/>
      <c r="I2" s="51"/>
    </row>
    <row r="4" spans="2:10" ht="30" x14ac:dyDescent="0.25">
      <c r="B4" s="7" t="s">
        <v>12</v>
      </c>
      <c r="C4" s="7" t="s">
        <v>4</v>
      </c>
      <c r="D4" s="27" t="s">
        <v>48</v>
      </c>
      <c r="E4" s="7" t="s">
        <v>5</v>
      </c>
      <c r="G4" s="7" t="s">
        <v>13</v>
      </c>
      <c r="H4" s="7" t="s">
        <v>3</v>
      </c>
      <c r="I4" s="8" t="s">
        <v>34</v>
      </c>
      <c r="J4" s="8" t="s">
        <v>11</v>
      </c>
    </row>
    <row r="5" spans="2:10" ht="30" x14ac:dyDescent="0.25">
      <c r="B5" s="6" t="s">
        <v>9</v>
      </c>
      <c r="C5" s="4">
        <v>1.5</v>
      </c>
      <c r="D5" s="4">
        <v>2</v>
      </c>
      <c r="E5" s="4">
        <v>3.5</v>
      </c>
      <c r="G5" s="10" t="s">
        <v>104</v>
      </c>
      <c r="H5" s="9">
        <v>30</v>
      </c>
      <c r="I5" s="9">
        <v>20</v>
      </c>
      <c r="J5" s="26">
        <v>50</v>
      </c>
    </row>
    <row r="6" spans="2:10" ht="30" x14ac:dyDescent="0.25">
      <c r="B6" s="6" t="s">
        <v>10</v>
      </c>
      <c r="C6" s="4">
        <v>5</v>
      </c>
      <c r="D6" s="4">
        <v>9</v>
      </c>
      <c r="E6" s="4">
        <v>15</v>
      </c>
      <c r="G6" s="6" t="s">
        <v>39</v>
      </c>
      <c r="H6" s="9">
        <v>900</v>
      </c>
      <c r="I6" s="9">
        <v>100</v>
      </c>
      <c r="J6" s="26">
        <v>900</v>
      </c>
    </row>
    <row r="7" spans="2:10" x14ac:dyDescent="0.25">
      <c r="B7" s="6" t="s">
        <v>33</v>
      </c>
      <c r="C7" s="53">
        <v>30</v>
      </c>
      <c r="D7" s="54"/>
      <c r="E7" s="55"/>
      <c r="G7" s="10" t="s">
        <v>40</v>
      </c>
      <c r="H7" s="56">
        <v>30000</v>
      </c>
      <c r="I7" s="56"/>
      <c r="J7" s="56"/>
    </row>
    <row r="8" spans="2:10" ht="30" x14ac:dyDescent="0.25">
      <c r="B8" s="6" t="s">
        <v>6</v>
      </c>
      <c r="C8" s="4">
        <v>8</v>
      </c>
      <c r="D8" s="4">
        <v>12</v>
      </c>
      <c r="E8" s="4">
        <v>30</v>
      </c>
      <c r="H8" s="2"/>
      <c r="I8" s="2"/>
    </row>
    <row r="9" spans="2:10" x14ac:dyDescent="0.25">
      <c r="B9" s="6" t="s">
        <v>7</v>
      </c>
      <c r="C9" s="4">
        <v>15</v>
      </c>
      <c r="D9" s="4">
        <v>27</v>
      </c>
      <c r="E9" s="4">
        <v>60</v>
      </c>
      <c r="G9" s="52" t="s">
        <v>35</v>
      </c>
      <c r="H9" s="52"/>
    </row>
    <row r="10" spans="2:10" ht="30" x14ac:dyDescent="0.25">
      <c r="B10" s="6" t="s">
        <v>8</v>
      </c>
      <c r="C10" s="4">
        <v>2100</v>
      </c>
      <c r="D10" s="4">
        <v>1200</v>
      </c>
      <c r="E10" s="4">
        <v>1000</v>
      </c>
      <c r="G10" s="15" t="s">
        <v>38</v>
      </c>
      <c r="H10" s="38">
        <v>10000</v>
      </c>
    </row>
    <row r="11" spans="2:10" x14ac:dyDescent="0.25">
      <c r="G11" s="15" t="s">
        <v>36</v>
      </c>
      <c r="H11" s="39">
        <v>55</v>
      </c>
    </row>
    <row r="12" spans="2:10" x14ac:dyDescent="0.25">
      <c r="G12" s="15" t="s">
        <v>37</v>
      </c>
      <c r="H12" s="39">
        <v>85</v>
      </c>
    </row>
    <row r="14" spans="2:10" ht="15.75" x14ac:dyDescent="0.25">
      <c r="B14" s="51" t="s">
        <v>79</v>
      </c>
      <c r="C14" s="51"/>
      <c r="D14" s="51"/>
      <c r="E14" s="51"/>
      <c r="F14" s="51"/>
      <c r="G14" s="51"/>
      <c r="H14" s="51"/>
      <c r="I14" s="51"/>
    </row>
    <row r="16" spans="2:10" x14ac:dyDescent="0.25">
      <c r="B16" t="s">
        <v>49</v>
      </c>
    </row>
    <row r="18" spans="2:7" ht="45" x14ac:dyDescent="0.25">
      <c r="C18" s="11" t="s">
        <v>19</v>
      </c>
      <c r="D18" s="11" t="s">
        <v>20</v>
      </c>
      <c r="E18" s="11" t="s">
        <v>57</v>
      </c>
      <c r="F18" s="11" t="s">
        <v>21</v>
      </c>
    </row>
    <row r="19" spans="2:7" x14ac:dyDescent="0.25">
      <c r="B19" s="3" t="s">
        <v>18</v>
      </c>
      <c r="C19" s="28">
        <f>+H10</f>
        <v>10000</v>
      </c>
      <c r="D19" s="28">
        <f>+H6*60</f>
        <v>54000</v>
      </c>
      <c r="E19" s="28">
        <f>+I6*60</f>
        <v>6000</v>
      </c>
      <c r="F19" s="28">
        <f>+J6*60</f>
        <v>54000</v>
      </c>
    </row>
    <row r="20" spans="2:7" x14ac:dyDescent="0.25">
      <c r="B20" s="1" t="s">
        <v>14</v>
      </c>
      <c r="C20" s="28">
        <f>+SUM(C21:C23)</f>
        <v>9050</v>
      </c>
      <c r="D20" s="28">
        <f>+SUM(D21:D23)</f>
        <v>36300</v>
      </c>
      <c r="E20" s="28">
        <f>+SUM(E21:E23)</f>
        <v>2715</v>
      </c>
      <c r="F20" s="28">
        <f>+SUM(F21:F23)</f>
        <v>61200</v>
      </c>
    </row>
    <row r="21" spans="2:7" x14ac:dyDescent="0.25">
      <c r="B21" s="14" t="s">
        <v>15</v>
      </c>
      <c r="C21" s="29">
        <f>+C5*C10</f>
        <v>3150</v>
      </c>
      <c r="D21" s="29">
        <f>+C6*C10</f>
        <v>10500</v>
      </c>
      <c r="E21" s="28">
        <f>+C10*C5/100*C7</f>
        <v>945</v>
      </c>
      <c r="F21" s="29">
        <f>+C8*C10</f>
        <v>16800</v>
      </c>
    </row>
    <row r="22" spans="2:7" x14ac:dyDescent="0.25">
      <c r="B22" s="14" t="s">
        <v>56</v>
      </c>
      <c r="C22" s="29">
        <f>+D10*D5</f>
        <v>2400</v>
      </c>
      <c r="D22" s="29">
        <f>+D6*D10</f>
        <v>10800</v>
      </c>
      <c r="E22" s="29">
        <f>+D10*D5/100*C7</f>
        <v>720</v>
      </c>
      <c r="F22" s="29">
        <f>+D8*D10</f>
        <v>14400</v>
      </c>
    </row>
    <row r="23" spans="2:7" x14ac:dyDescent="0.25">
      <c r="B23" s="14" t="s">
        <v>16</v>
      </c>
      <c r="C23" s="29">
        <f>+E5*E10</f>
        <v>3500</v>
      </c>
      <c r="D23" s="29">
        <f>+E6*E10</f>
        <v>15000</v>
      </c>
      <c r="E23" s="29">
        <f>+E10*E5/100*30</f>
        <v>1050</v>
      </c>
      <c r="F23" s="29">
        <f>+E8*E10</f>
        <v>30000</v>
      </c>
    </row>
    <row r="24" spans="2:7" x14ac:dyDescent="0.25">
      <c r="B24" s="1" t="s">
        <v>17</v>
      </c>
      <c r="C24" s="30">
        <f>+C19-C20</f>
        <v>950</v>
      </c>
      <c r="D24" s="30">
        <f>+D19-D20</f>
        <v>17700</v>
      </c>
      <c r="E24" s="30">
        <f>+E19-E20</f>
        <v>3285</v>
      </c>
      <c r="F24" s="31">
        <f>+F19-F20</f>
        <v>-7200</v>
      </c>
      <c r="G24" s="17" t="s">
        <v>41</v>
      </c>
    </row>
    <row r="26" spans="2:7" x14ac:dyDescent="0.25">
      <c r="B26" s="32" t="s">
        <v>50</v>
      </c>
    </row>
    <row r="27" spans="2:7" x14ac:dyDescent="0.25">
      <c r="B27" s="32" t="s">
        <v>51</v>
      </c>
    </row>
    <row r="28" spans="2:7" x14ac:dyDescent="0.25">
      <c r="B28" s="32" t="s">
        <v>80</v>
      </c>
    </row>
    <row r="29" spans="2:7" x14ac:dyDescent="0.25">
      <c r="B29" s="32"/>
    </row>
    <row r="30" spans="2:7" x14ac:dyDescent="0.25">
      <c r="B30" s="1"/>
      <c r="C30" s="5" t="s">
        <v>1</v>
      </c>
      <c r="D30" s="25" t="s">
        <v>47</v>
      </c>
      <c r="E30" s="5" t="s">
        <v>5</v>
      </c>
    </row>
    <row r="31" spans="2:7" x14ac:dyDescent="0.25">
      <c r="B31" s="1" t="s">
        <v>22</v>
      </c>
      <c r="C31" s="13">
        <f>+SUM(C32:C36)</f>
        <v>11.416666666666668</v>
      </c>
      <c r="D31" s="13">
        <f>+SUM(D32:D36)</f>
        <v>17.5</v>
      </c>
      <c r="E31" s="13">
        <f>+SUM(E32:E36)</f>
        <v>37.75</v>
      </c>
    </row>
    <row r="32" spans="2:7" x14ac:dyDescent="0.25">
      <c r="B32" s="14" t="s">
        <v>46</v>
      </c>
      <c r="C32" s="33">
        <f>+$H$11/100*C5</f>
        <v>0.82500000000000007</v>
      </c>
      <c r="D32" s="33">
        <f t="shared" ref="D32:E32" si="0">+$H$11/100*D5</f>
        <v>1.1000000000000001</v>
      </c>
      <c r="E32" s="33">
        <f t="shared" si="0"/>
        <v>1.9250000000000003</v>
      </c>
    </row>
    <row r="33" spans="2:5" x14ac:dyDescent="0.25">
      <c r="B33" s="14" t="s">
        <v>42</v>
      </c>
      <c r="C33" s="33">
        <f>+$H$12/100*C5</f>
        <v>1.2749999999999999</v>
      </c>
      <c r="D33" s="33">
        <f t="shared" ref="D33:E33" si="1">+$H$12/100*D5</f>
        <v>1.7</v>
      </c>
      <c r="E33" s="33">
        <f t="shared" si="1"/>
        <v>2.9750000000000001</v>
      </c>
    </row>
    <row r="34" spans="2:5" x14ac:dyDescent="0.25">
      <c r="B34" s="14" t="s">
        <v>81</v>
      </c>
      <c r="C34" s="33">
        <f>+$H$5/60*C6</f>
        <v>2.5</v>
      </c>
      <c r="D34" s="33">
        <f t="shared" ref="D34:E34" si="2">+$H$5/60*D6</f>
        <v>4.5</v>
      </c>
      <c r="E34" s="33">
        <f t="shared" si="2"/>
        <v>7.5</v>
      </c>
    </row>
    <row r="35" spans="2:5" x14ac:dyDescent="0.25">
      <c r="B35" s="14" t="s">
        <v>82</v>
      </c>
      <c r="C35" s="33">
        <f>+(C7/100*C5)*($I$5/60)</f>
        <v>0.14999999999999997</v>
      </c>
      <c r="D35" s="33">
        <f>+(C7/100*D5)*($I$5/60)</f>
        <v>0.19999999999999998</v>
      </c>
      <c r="E35" s="33">
        <f>+(C7/100*E5)*($I$5/60)</f>
        <v>0.35</v>
      </c>
    </row>
    <row r="36" spans="2:5" x14ac:dyDescent="0.25">
      <c r="B36" s="14" t="s">
        <v>83</v>
      </c>
      <c r="C36" s="33">
        <f>+$J$5/60*C8</f>
        <v>6.666666666666667</v>
      </c>
      <c r="D36" s="33">
        <f t="shared" ref="D36:E36" si="3">+$J$5/60*D8</f>
        <v>10</v>
      </c>
      <c r="E36" s="33">
        <f t="shared" si="3"/>
        <v>25</v>
      </c>
    </row>
    <row r="37" spans="2:5" x14ac:dyDescent="0.25">
      <c r="B37" s="18" t="s">
        <v>2</v>
      </c>
      <c r="C37" s="13">
        <f>+C9</f>
        <v>15</v>
      </c>
      <c r="D37" s="13">
        <f>+D9</f>
        <v>27</v>
      </c>
      <c r="E37" s="13">
        <f>+E9</f>
        <v>60</v>
      </c>
    </row>
    <row r="38" spans="2:5" x14ac:dyDescent="0.25">
      <c r="B38" s="18" t="s">
        <v>23</v>
      </c>
      <c r="C38" s="13">
        <f>+C37-C31</f>
        <v>3.5833333333333321</v>
      </c>
      <c r="D38" s="13">
        <f>+D37-D31</f>
        <v>9.5</v>
      </c>
      <c r="E38" s="13">
        <f>+E37-E31</f>
        <v>22.25</v>
      </c>
    </row>
    <row r="39" spans="2:5" x14ac:dyDescent="0.25">
      <c r="B39" s="19" t="s">
        <v>24</v>
      </c>
      <c r="C39" s="20">
        <f>+C38/C8</f>
        <v>0.44791666666666652</v>
      </c>
      <c r="D39" s="20">
        <f>+D38/D8</f>
        <v>0.79166666666666663</v>
      </c>
      <c r="E39" s="20">
        <f>+E38/E8</f>
        <v>0.7416666666666667</v>
      </c>
    </row>
    <row r="40" spans="2:5" x14ac:dyDescent="0.25">
      <c r="B40" s="35" t="s">
        <v>25</v>
      </c>
      <c r="C40" s="36" t="str">
        <f>+IF(AND(C39&gt;D39,C39&gt;E39),"1º",IF(AND(C39&gt;D39,C39&lt;E39),"2º",IF(AND(C39&lt;D39,C39&gt;E39),"2º","3º")))</f>
        <v>3º</v>
      </c>
      <c r="D40" s="36" t="str">
        <f>+IF(AND(D39&gt;E39,D39&gt;C39),"1º",IF(AND(D39&gt;E39,D39&lt;C39),"2º",IF(AND(D39&lt;E39,D39&gt;C39),"2º","3º")))</f>
        <v>1º</v>
      </c>
      <c r="E40" s="36" t="str">
        <f>+IF(AND(E39&gt;C39,E39&gt;D39),"1º",IF(AND(E39&gt;C39,E39&lt;D39),"2º",IF(AND(E39&lt;C39,E39&gt;D39),"2º","3º")))</f>
        <v>2º</v>
      </c>
    </row>
    <row r="41" spans="2:5" x14ac:dyDescent="0.25">
      <c r="B41" s="16"/>
      <c r="C41" s="34"/>
      <c r="D41" s="34"/>
      <c r="E41" s="34"/>
    </row>
    <row r="42" spans="2:5" x14ac:dyDescent="0.25">
      <c r="B42" s="22" t="s">
        <v>29</v>
      </c>
      <c r="C42" s="34"/>
      <c r="D42" s="34"/>
      <c r="E42" s="34"/>
    </row>
    <row r="43" spans="2:5" x14ac:dyDescent="0.25">
      <c r="B43" s="16" t="s">
        <v>88</v>
      </c>
      <c r="C43" s="34"/>
      <c r="D43" s="34"/>
      <c r="E43" s="34"/>
    </row>
    <row r="44" spans="2:5" x14ac:dyDescent="0.25">
      <c r="B44" t="s">
        <v>52</v>
      </c>
      <c r="C44" s="34"/>
      <c r="D44" s="34"/>
      <c r="E44" s="34"/>
    </row>
    <row r="45" spans="2:5" x14ac:dyDescent="0.25">
      <c r="B45" t="s">
        <v>84</v>
      </c>
      <c r="C45" s="34"/>
      <c r="D45" s="34"/>
      <c r="E45" s="34"/>
    </row>
    <row r="46" spans="2:5" x14ac:dyDescent="0.25">
      <c r="B46" t="s">
        <v>85</v>
      </c>
      <c r="C46" s="34"/>
      <c r="D46" s="34"/>
      <c r="E46" s="34"/>
    </row>
    <row r="47" spans="2:5" x14ac:dyDescent="0.25">
      <c r="B47" t="s">
        <v>86</v>
      </c>
      <c r="C47" s="34"/>
      <c r="D47" s="34"/>
      <c r="E47" s="34"/>
    </row>
    <row r="48" spans="2:5" x14ac:dyDescent="0.25">
      <c r="B48" t="s">
        <v>87</v>
      </c>
      <c r="C48" s="34"/>
      <c r="D48" s="34"/>
      <c r="E48" s="34"/>
    </row>
    <row r="49" spans="2:9" x14ac:dyDescent="0.25">
      <c r="C49" s="34"/>
      <c r="D49" s="34"/>
      <c r="E49" s="34"/>
    </row>
    <row r="50" spans="2:9" x14ac:dyDescent="0.25">
      <c r="B50" t="s">
        <v>26</v>
      </c>
    </row>
    <row r="52" spans="2:9" ht="45" x14ac:dyDescent="0.25">
      <c r="B52" s="7" t="s">
        <v>28</v>
      </c>
      <c r="C52" s="8" t="s">
        <v>89</v>
      </c>
      <c r="D52" s="8" t="s">
        <v>27</v>
      </c>
      <c r="E52" s="8" t="s">
        <v>53</v>
      </c>
      <c r="I52" s="37"/>
    </row>
    <row r="53" spans="2:9" x14ac:dyDescent="0.25">
      <c r="B53" s="1" t="str">
        <f>+IF($C$40="1º",$C$30,IF($D$40="1º",$D$30,$E$30))</f>
        <v>Mantelería</v>
      </c>
      <c r="C53" s="21">
        <f>+D53*D8</f>
        <v>14400</v>
      </c>
      <c r="D53" s="21">
        <f>+D10</f>
        <v>1200</v>
      </c>
      <c r="E53" s="21">
        <f>+F19-C53</f>
        <v>39600</v>
      </c>
    </row>
    <row r="54" spans="2:9" x14ac:dyDescent="0.25">
      <c r="B54" s="1" t="str">
        <f>+IF($C$40="2º",$C$30,IF($D$40="2º",$D$30,$E$30))</f>
        <v>J. Sábanas</v>
      </c>
      <c r="C54" s="21">
        <f>+D54*E8</f>
        <v>30000</v>
      </c>
      <c r="D54" s="21">
        <f>+E10</f>
        <v>1000</v>
      </c>
      <c r="E54" s="21">
        <f>E53-C54</f>
        <v>9600</v>
      </c>
    </row>
    <row r="55" spans="2:9" x14ac:dyDescent="0.25">
      <c r="B55" s="1" t="str">
        <f>+IF($C$40="3º",$C$30,IF($D$40="3º",$D$30,$E$30))</f>
        <v>Toalla</v>
      </c>
      <c r="C55" s="21">
        <f>+D55*C9</f>
        <v>9600</v>
      </c>
      <c r="D55" s="21">
        <v>640</v>
      </c>
      <c r="E55" s="21">
        <f>+E54-C55</f>
        <v>0</v>
      </c>
    </row>
    <row r="56" spans="2:9" x14ac:dyDescent="0.25">
      <c r="B56" s="16"/>
      <c r="C56" s="34"/>
      <c r="D56" s="34"/>
      <c r="E56" s="34"/>
    </row>
    <row r="57" spans="2:9" x14ac:dyDescent="0.25">
      <c r="B57" s="16"/>
      <c r="C57" s="34"/>
      <c r="D57" s="34"/>
      <c r="E57" s="34"/>
    </row>
    <row r="58" spans="2:9" x14ac:dyDescent="0.25">
      <c r="B58" s="32" t="s">
        <v>66</v>
      </c>
      <c r="C58" s="34"/>
      <c r="D58" s="34"/>
      <c r="E58" s="34"/>
    </row>
    <row r="59" spans="2:9" x14ac:dyDescent="0.25">
      <c r="B59" s="16"/>
      <c r="C59" s="34"/>
      <c r="D59" s="34"/>
      <c r="E59" s="34"/>
    </row>
    <row r="60" spans="2:9" x14ac:dyDescent="0.25">
      <c r="B60" s="1" t="s">
        <v>67</v>
      </c>
      <c r="C60" s="40">
        <f>+D53*D9+D54*E9+D55*C9</f>
        <v>102000</v>
      </c>
    </row>
    <row r="61" spans="2:9" x14ac:dyDescent="0.25">
      <c r="B61" s="1" t="s">
        <v>68</v>
      </c>
      <c r="C61" s="40">
        <f>-(+D53*D31+D54*E31+D55*C31)</f>
        <v>-66056.666666666672</v>
      </c>
    </row>
    <row r="62" spans="2:9" x14ac:dyDescent="0.25">
      <c r="B62" s="1" t="s">
        <v>69</v>
      </c>
      <c r="C62" s="40">
        <f>-H7</f>
        <v>-30000</v>
      </c>
    </row>
    <row r="63" spans="2:9" x14ac:dyDescent="0.25">
      <c r="B63" s="41" t="s">
        <v>70</v>
      </c>
      <c r="C63" s="42">
        <f>+SUM(C60:C62)</f>
        <v>5943.3333333333285</v>
      </c>
    </row>
    <row r="84" ht="14.25" customHeight="1" x14ac:dyDescent="0.25"/>
  </sheetData>
  <mergeCells count="5">
    <mergeCell ref="B2:I2"/>
    <mergeCell ref="B14:I14"/>
    <mergeCell ref="G9:H9"/>
    <mergeCell ref="C7:E7"/>
    <mergeCell ref="H7:J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6"/>
  <sheetViews>
    <sheetView topLeftCell="A34" workbookViewId="0">
      <selection activeCell="G56" sqref="G56"/>
    </sheetView>
  </sheetViews>
  <sheetFormatPr baseColWidth="10" defaultRowHeight="15" x14ac:dyDescent="0.25"/>
  <cols>
    <col min="1" max="1" width="3.42578125" customWidth="1"/>
    <col min="2" max="2" width="25" customWidth="1"/>
    <col min="3" max="3" width="12.42578125" bestFit="1" customWidth="1"/>
    <col min="4" max="5" width="12.5703125" bestFit="1" customWidth="1"/>
    <col min="6" max="6" width="11.140625" customWidth="1"/>
    <col min="7" max="7" width="27" customWidth="1"/>
    <col min="8" max="8" width="8" bestFit="1" customWidth="1"/>
    <col min="9" max="9" width="8.140625" customWidth="1"/>
    <col min="10" max="10" width="10.5703125" bestFit="1" customWidth="1"/>
  </cols>
  <sheetData>
    <row r="2" spans="2:10" ht="15.75" x14ac:dyDescent="0.25">
      <c r="B2" s="51" t="s">
        <v>0</v>
      </c>
      <c r="C2" s="51"/>
      <c r="D2" s="51"/>
      <c r="E2" s="51"/>
      <c r="F2" s="51"/>
      <c r="G2" s="51"/>
      <c r="H2" s="51"/>
      <c r="I2" s="51"/>
    </row>
    <row r="4" spans="2:10" ht="30" x14ac:dyDescent="0.25">
      <c r="B4" s="27" t="s">
        <v>12</v>
      </c>
      <c r="C4" s="27" t="s">
        <v>4</v>
      </c>
      <c r="D4" s="27" t="s">
        <v>48</v>
      </c>
      <c r="E4" s="27" t="s">
        <v>5</v>
      </c>
      <c r="G4" s="27" t="s">
        <v>13</v>
      </c>
      <c r="H4" s="27" t="s">
        <v>3</v>
      </c>
      <c r="I4" s="8" t="s">
        <v>34</v>
      </c>
      <c r="J4" s="8" t="s">
        <v>11</v>
      </c>
    </row>
    <row r="5" spans="2:10" ht="30" x14ac:dyDescent="0.25">
      <c r="B5" s="6" t="s">
        <v>9</v>
      </c>
      <c r="C5" s="4">
        <v>1.5</v>
      </c>
      <c r="D5" s="4">
        <v>2</v>
      </c>
      <c r="E5" s="4">
        <v>3.5</v>
      </c>
      <c r="G5" s="10" t="s">
        <v>104</v>
      </c>
      <c r="H5" s="26">
        <v>30</v>
      </c>
      <c r="I5" s="26">
        <v>20</v>
      </c>
      <c r="J5" s="26">
        <v>50</v>
      </c>
    </row>
    <row r="6" spans="2:10" ht="30" x14ac:dyDescent="0.25">
      <c r="B6" s="6" t="s">
        <v>10</v>
      </c>
      <c r="C6" s="4">
        <v>5</v>
      </c>
      <c r="D6" s="4">
        <v>9</v>
      </c>
      <c r="E6" s="4">
        <v>15</v>
      </c>
      <c r="G6" s="6" t="s">
        <v>39</v>
      </c>
      <c r="H6" s="26">
        <v>900</v>
      </c>
      <c r="I6" s="26">
        <v>100</v>
      </c>
      <c r="J6" s="26">
        <v>900</v>
      </c>
    </row>
    <row r="7" spans="2:10" x14ac:dyDescent="0.25">
      <c r="B7" s="6" t="s">
        <v>33</v>
      </c>
      <c r="C7" s="53">
        <v>30</v>
      </c>
      <c r="D7" s="54"/>
      <c r="E7" s="55"/>
      <c r="G7" s="10" t="s">
        <v>40</v>
      </c>
      <c r="H7" s="56">
        <v>30000</v>
      </c>
      <c r="I7" s="56"/>
      <c r="J7" s="56"/>
    </row>
    <row r="8" spans="2:10" ht="30" x14ac:dyDescent="0.25">
      <c r="B8" s="6" t="s">
        <v>6</v>
      </c>
      <c r="C8" s="4">
        <v>8</v>
      </c>
      <c r="D8" s="4">
        <v>12</v>
      </c>
      <c r="E8" s="4">
        <v>30</v>
      </c>
      <c r="H8" s="2"/>
      <c r="I8" s="2"/>
    </row>
    <row r="9" spans="2:10" x14ac:dyDescent="0.25">
      <c r="B9" s="6" t="s">
        <v>7</v>
      </c>
      <c r="C9" s="4">
        <v>15</v>
      </c>
      <c r="D9" s="4">
        <v>27</v>
      </c>
      <c r="E9" s="4">
        <v>60</v>
      </c>
      <c r="G9" s="52" t="s">
        <v>35</v>
      </c>
      <c r="H9" s="52"/>
    </row>
    <row r="10" spans="2:10" ht="30" x14ac:dyDescent="0.25">
      <c r="B10" s="6" t="s">
        <v>8</v>
      </c>
      <c r="C10" s="4">
        <v>2100</v>
      </c>
      <c r="D10" s="4">
        <v>1200</v>
      </c>
      <c r="E10" s="4">
        <v>1000</v>
      </c>
      <c r="G10" s="15" t="s">
        <v>38</v>
      </c>
      <c r="H10" s="38">
        <v>10000</v>
      </c>
    </row>
    <row r="11" spans="2:10" x14ac:dyDescent="0.25">
      <c r="G11" s="15" t="s">
        <v>36</v>
      </c>
      <c r="H11" s="39">
        <v>55</v>
      </c>
    </row>
    <row r="12" spans="2:10" x14ac:dyDescent="0.25">
      <c r="B12" s="57" t="s">
        <v>30</v>
      </c>
      <c r="C12" s="57"/>
      <c r="G12" s="15" t="s">
        <v>37</v>
      </c>
      <c r="H12" s="39">
        <v>85</v>
      </c>
    </row>
    <row r="13" spans="2:10" x14ac:dyDescent="0.25">
      <c r="B13" s="1" t="s">
        <v>31</v>
      </c>
      <c r="C13" s="12">
        <v>24</v>
      </c>
    </row>
    <row r="14" spans="2:10" x14ac:dyDescent="0.25">
      <c r="B14" s="1" t="s">
        <v>32</v>
      </c>
      <c r="C14" s="12">
        <v>400</v>
      </c>
    </row>
    <row r="16" spans="2:10" ht="15.75" x14ac:dyDescent="0.25">
      <c r="B16" s="51" t="s">
        <v>90</v>
      </c>
      <c r="C16" s="51"/>
      <c r="D16" s="51"/>
      <c r="E16" s="51"/>
      <c r="F16" s="51"/>
      <c r="G16" s="51"/>
      <c r="H16" s="51"/>
      <c r="I16" s="51"/>
    </row>
    <row r="17" spans="2:7" x14ac:dyDescent="0.25">
      <c r="B17" s="23"/>
      <c r="C17" s="24"/>
    </row>
    <row r="18" spans="2:7" x14ac:dyDescent="0.25">
      <c r="B18" s="23" t="s">
        <v>54</v>
      </c>
      <c r="C18" s="24"/>
    </row>
    <row r="19" spans="2:7" x14ac:dyDescent="0.25">
      <c r="B19" s="23" t="s">
        <v>91</v>
      </c>
      <c r="C19" s="24"/>
    </row>
    <row r="20" spans="2:7" x14ac:dyDescent="0.25">
      <c r="B20" s="23" t="s">
        <v>92</v>
      </c>
      <c r="C20" s="24"/>
    </row>
    <row r="21" spans="2:7" x14ac:dyDescent="0.25">
      <c r="B21" s="23"/>
      <c r="C21" s="24"/>
    </row>
    <row r="22" spans="2:7" x14ac:dyDescent="0.25">
      <c r="B22" s="32" t="s">
        <v>93</v>
      </c>
      <c r="C22" s="24"/>
    </row>
    <row r="23" spans="2:7" x14ac:dyDescent="0.25">
      <c r="B23" s="23"/>
      <c r="C23" s="24"/>
    </row>
    <row r="24" spans="2:7" ht="45" x14ac:dyDescent="0.25">
      <c r="C24" s="11" t="s">
        <v>19</v>
      </c>
      <c r="D24" s="11" t="s">
        <v>20</v>
      </c>
      <c r="E24" s="11" t="s">
        <v>57</v>
      </c>
      <c r="F24" s="11" t="s">
        <v>21</v>
      </c>
    </row>
    <row r="25" spans="2:7" x14ac:dyDescent="0.25">
      <c r="B25" s="3" t="s">
        <v>18</v>
      </c>
      <c r="C25" s="28">
        <f>+H10</f>
        <v>10000</v>
      </c>
      <c r="D25" s="28">
        <f>+H6*60</f>
        <v>54000</v>
      </c>
      <c r="E25" s="28">
        <f t="shared" ref="E25:F25" si="0">+I6*60</f>
        <v>6000</v>
      </c>
      <c r="F25" s="28">
        <f t="shared" si="0"/>
        <v>54000</v>
      </c>
    </row>
    <row r="26" spans="2:7" x14ac:dyDescent="0.25">
      <c r="B26" s="1" t="s">
        <v>14</v>
      </c>
      <c r="C26" s="28">
        <f>+SUM(C27:C30)</f>
        <v>9850</v>
      </c>
      <c r="D26" s="28">
        <f>+SUM(D27:D30)</f>
        <v>39900</v>
      </c>
      <c r="E26" s="28">
        <f>+SUM(E27:E30)</f>
        <v>2955</v>
      </c>
      <c r="F26" s="28">
        <f>+SUM(F27:F30)</f>
        <v>66000</v>
      </c>
    </row>
    <row r="27" spans="2:7" x14ac:dyDescent="0.25">
      <c r="B27" s="14" t="s">
        <v>15</v>
      </c>
      <c r="C27" s="29">
        <f>+C5*C10</f>
        <v>3150</v>
      </c>
      <c r="D27" s="29">
        <f>+C6*C10</f>
        <v>10500</v>
      </c>
      <c r="E27" s="28">
        <f>+C27/100*C7</f>
        <v>945</v>
      </c>
      <c r="F27" s="29">
        <f>+C8*C10</f>
        <v>16800</v>
      </c>
    </row>
    <row r="28" spans="2:7" x14ac:dyDescent="0.25">
      <c r="B28" s="14" t="s">
        <v>56</v>
      </c>
      <c r="C28" s="29">
        <f>+D5*D10</f>
        <v>2400</v>
      </c>
      <c r="D28" s="29">
        <f>+D6*D10</f>
        <v>10800</v>
      </c>
      <c r="E28" s="29">
        <f>+C28/100*C7</f>
        <v>720</v>
      </c>
      <c r="F28" s="29">
        <f>+D8*D10</f>
        <v>14400</v>
      </c>
    </row>
    <row r="29" spans="2:7" x14ac:dyDescent="0.25">
      <c r="B29" s="14" t="s">
        <v>55</v>
      </c>
      <c r="C29" s="29">
        <f>+C14*D5</f>
        <v>800</v>
      </c>
      <c r="D29" s="29">
        <f>+D6*C14</f>
        <v>3600</v>
      </c>
      <c r="E29" s="29">
        <f>+C29/100*C7</f>
        <v>240</v>
      </c>
      <c r="F29" s="29">
        <f>+D8*C14</f>
        <v>4800</v>
      </c>
    </row>
    <row r="30" spans="2:7" x14ac:dyDescent="0.25">
      <c r="B30" s="14" t="s">
        <v>16</v>
      </c>
      <c r="C30" s="29">
        <f>+E5*E10</f>
        <v>3500</v>
      </c>
      <c r="D30" s="29">
        <f>+E6*E10</f>
        <v>15000</v>
      </c>
      <c r="E30" s="29">
        <f>+C30/100*30</f>
        <v>1050</v>
      </c>
      <c r="F30" s="29">
        <f>+E8*E10</f>
        <v>30000</v>
      </c>
    </row>
    <row r="31" spans="2:7" x14ac:dyDescent="0.25">
      <c r="B31" s="1" t="s">
        <v>17</v>
      </c>
      <c r="C31" s="30">
        <f>+C25-C26</f>
        <v>150</v>
      </c>
      <c r="D31" s="30">
        <f>+D25-D26</f>
        <v>14100</v>
      </c>
      <c r="E31" s="30">
        <f>+E25-E26</f>
        <v>3045</v>
      </c>
      <c r="F31" s="31">
        <f>+F25-F26</f>
        <v>-12000</v>
      </c>
      <c r="G31" t="s">
        <v>105</v>
      </c>
    </row>
    <row r="32" spans="2:7" x14ac:dyDescent="0.25">
      <c r="G32" t="s">
        <v>96</v>
      </c>
    </row>
    <row r="34" spans="2:6" x14ac:dyDescent="0.25">
      <c r="B34" s="32" t="s">
        <v>58</v>
      </c>
    </row>
    <row r="35" spans="2:6" x14ac:dyDescent="0.25">
      <c r="B35" s="32" t="s">
        <v>94</v>
      </c>
    </row>
    <row r="37" spans="2:6" x14ac:dyDescent="0.25">
      <c r="B37" s="1"/>
      <c r="C37" s="25" t="s">
        <v>1</v>
      </c>
      <c r="D37" s="25" t="s">
        <v>47</v>
      </c>
      <c r="E37" s="25" t="s">
        <v>59</v>
      </c>
      <c r="F37" s="25" t="s">
        <v>5</v>
      </c>
    </row>
    <row r="38" spans="2:6" x14ac:dyDescent="0.25">
      <c r="B38" s="1" t="s">
        <v>22</v>
      </c>
      <c r="C38" s="13">
        <f>+SUM(C39:C43)</f>
        <v>11.416666666666668</v>
      </c>
      <c r="D38" s="13">
        <f>+SUM(D39:D43)</f>
        <v>17.5</v>
      </c>
      <c r="E38" s="13">
        <f>+SUM(E39:E43)</f>
        <v>17.5</v>
      </c>
      <c r="F38" s="13">
        <f>+SUM(F39:F43)</f>
        <v>37.75</v>
      </c>
    </row>
    <row r="39" spans="2:6" x14ac:dyDescent="0.25">
      <c r="B39" s="14" t="s">
        <v>46</v>
      </c>
      <c r="C39" s="33">
        <f>+H11/100*C5</f>
        <v>0.82500000000000007</v>
      </c>
      <c r="D39" s="33">
        <f>+H11/100*D5</f>
        <v>1.1000000000000001</v>
      </c>
      <c r="E39" s="33">
        <f>+H11/100*D5</f>
        <v>1.1000000000000001</v>
      </c>
      <c r="F39" s="33">
        <f>+H11/100*E5</f>
        <v>1.9250000000000003</v>
      </c>
    </row>
    <row r="40" spans="2:6" x14ac:dyDescent="0.25">
      <c r="B40" s="14" t="s">
        <v>42</v>
      </c>
      <c r="C40" s="33">
        <f>+H12/100*C5</f>
        <v>1.2749999999999999</v>
      </c>
      <c r="D40" s="33">
        <f>+H12/100*D5</f>
        <v>1.7</v>
      </c>
      <c r="E40" s="33">
        <f>+H12/100*D5</f>
        <v>1.7</v>
      </c>
      <c r="F40" s="33">
        <f>+H12/100*E5</f>
        <v>2.9750000000000001</v>
      </c>
    </row>
    <row r="41" spans="2:6" x14ac:dyDescent="0.25">
      <c r="B41" s="14" t="s">
        <v>44</v>
      </c>
      <c r="C41" s="33">
        <f>+$H$5/60*C6</f>
        <v>2.5</v>
      </c>
      <c r="D41" s="33">
        <f t="shared" ref="D41" si="1">+$H$5/60*D6</f>
        <v>4.5</v>
      </c>
      <c r="E41" s="33">
        <f>+$H$5/60*D6</f>
        <v>4.5</v>
      </c>
      <c r="F41" s="33">
        <f>+$H$5/60*E6</f>
        <v>7.5</v>
      </c>
    </row>
    <row r="42" spans="2:6" x14ac:dyDescent="0.25">
      <c r="B42" s="14" t="s">
        <v>43</v>
      </c>
      <c r="C42" s="33">
        <f>+$I$5/60*(C7/100*C5)</f>
        <v>0.14999999999999997</v>
      </c>
      <c r="D42" s="33">
        <f>+$I$5/60*(C7/100*D5)</f>
        <v>0.19999999999999998</v>
      </c>
      <c r="E42" s="33">
        <f>+$I$5/60*(C7/100*D5)</f>
        <v>0.19999999999999998</v>
      </c>
      <c r="F42" s="33">
        <f>+$I$5/60*(C7/100*E5)</f>
        <v>0.35</v>
      </c>
    </row>
    <row r="43" spans="2:6" x14ac:dyDescent="0.25">
      <c r="B43" s="14" t="s">
        <v>45</v>
      </c>
      <c r="C43" s="33">
        <f>+$J$5/60*C8</f>
        <v>6.666666666666667</v>
      </c>
      <c r="D43" s="33">
        <f t="shared" ref="D43" si="2">+$J$5/60*D8</f>
        <v>10</v>
      </c>
      <c r="E43" s="33">
        <f>+$J$5/60*D8</f>
        <v>10</v>
      </c>
      <c r="F43" s="33">
        <f>+$J$5/60*E8</f>
        <v>25</v>
      </c>
    </row>
    <row r="44" spans="2:6" x14ac:dyDescent="0.25">
      <c r="B44" s="18" t="s">
        <v>2</v>
      </c>
      <c r="C44" s="13">
        <f>+C9</f>
        <v>15</v>
      </c>
      <c r="D44" s="13">
        <f>+D9</f>
        <v>27</v>
      </c>
      <c r="E44" s="13">
        <f>+C13</f>
        <v>24</v>
      </c>
      <c r="F44" s="13">
        <f>+E9</f>
        <v>60</v>
      </c>
    </row>
    <row r="45" spans="2:6" x14ac:dyDescent="0.25">
      <c r="B45" s="18" t="s">
        <v>23</v>
      </c>
      <c r="C45" s="13">
        <f>+C44-C38</f>
        <v>3.5833333333333321</v>
      </c>
      <c r="D45" s="13">
        <f>+D44-D38</f>
        <v>9.5</v>
      </c>
      <c r="E45" s="13">
        <f>+E44-E38</f>
        <v>6.5</v>
      </c>
      <c r="F45" s="13">
        <f>+F44-F38</f>
        <v>22.25</v>
      </c>
    </row>
    <row r="46" spans="2:6" x14ac:dyDescent="0.25">
      <c r="B46" s="19" t="s">
        <v>24</v>
      </c>
      <c r="C46" s="20">
        <f>+C45/C8</f>
        <v>0.44791666666666652</v>
      </c>
      <c r="D46" s="20">
        <f t="shared" ref="D46" si="3">+D45/D8</f>
        <v>0.79166666666666663</v>
      </c>
      <c r="E46" s="20">
        <f>+E45/D8</f>
        <v>0.54166666666666663</v>
      </c>
      <c r="F46" s="20">
        <f>+F45/E8</f>
        <v>0.7416666666666667</v>
      </c>
    </row>
    <row r="47" spans="2:6" x14ac:dyDescent="0.25">
      <c r="B47" s="35" t="s">
        <v>25</v>
      </c>
      <c r="C47" s="36" t="s">
        <v>63</v>
      </c>
      <c r="D47" s="36" t="s">
        <v>60</v>
      </c>
      <c r="E47" s="36" t="s">
        <v>62</v>
      </c>
      <c r="F47" s="36" t="s">
        <v>61</v>
      </c>
    </row>
    <row r="49" spans="2:5" x14ac:dyDescent="0.25">
      <c r="B49" t="s">
        <v>64</v>
      </c>
    </row>
    <row r="50" spans="2:5" x14ac:dyDescent="0.25">
      <c r="B50" t="s">
        <v>95</v>
      </c>
    </row>
    <row r="52" spans="2:5" x14ac:dyDescent="0.25">
      <c r="B52" t="s">
        <v>65</v>
      </c>
    </row>
    <row r="53" spans="2:5" ht="45" x14ac:dyDescent="0.25">
      <c r="B53" s="7" t="s">
        <v>28</v>
      </c>
      <c r="C53" s="8" t="s">
        <v>89</v>
      </c>
      <c r="D53" s="8" t="s">
        <v>27</v>
      </c>
      <c r="E53" s="8" t="s">
        <v>53</v>
      </c>
    </row>
    <row r="54" spans="2:5" x14ac:dyDescent="0.25">
      <c r="B54" s="1" t="s">
        <v>47</v>
      </c>
      <c r="C54" s="21">
        <f>+D54*D8</f>
        <v>14400</v>
      </c>
      <c r="D54" s="21">
        <f>+D10</f>
        <v>1200</v>
      </c>
      <c r="E54" s="21">
        <f>+H6*60-C54</f>
        <v>39600</v>
      </c>
    </row>
    <row r="55" spans="2:5" x14ac:dyDescent="0.25">
      <c r="B55" s="1" t="s">
        <v>5</v>
      </c>
      <c r="C55" s="21">
        <f>+E8*D55</f>
        <v>30000</v>
      </c>
      <c r="D55" s="21">
        <f>+E10</f>
        <v>1000</v>
      </c>
      <c r="E55" s="21">
        <f>E54-C55</f>
        <v>9600</v>
      </c>
    </row>
    <row r="56" spans="2:5" x14ac:dyDescent="0.25">
      <c r="B56" s="1" t="s">
        <v>59</v>
      </c>
      <c r="C56" s="21">
        <f>+D56*D8</f>
        <v>4800</v>
      </c>
      <c r="D56" s="21">
        <f>+C14</f>
        <v>400</v>
      </c>
      <c r="E56" s="21">
        <f>E55-C56</f>
        <v>4800</v>
      </c>
    </row>
    <row r="57" spans="2:5" x14ac:dyDescent="0.25">
      <c r="B57" s="1" t="s">
        <v>1</v>
      </c>
      <c r="C57" s="21">
        <f>+D57*E6</f>
        <v>4800</v>
      </c>
      <c r="D57" s="21">
        <v>320</v>
      </c>
      <c r="E57" s="21">
        <f>+E56-C57</f>
        <v>0</v>
      </c>
    </row>
    <row r="58" spans="2:5" x14ac:dyDescent="0.25">
      <c r="B58" s="43" t="s">
        <v>71</v>
      </c>
    </row>
    <row r="60" spans="2:5" x14ac:dyDescent="0.25">
      <c r="B60" s="1" t="s">
        <v>67</v>
      </c>
      <c r="C60" s="40">
        <f>+D54*D9+D55*E9+D56*C13+D57*C9</f>
        <v>106800</v>
      </c>
    </row>
    <row r="61" spans="2:5" x14ac:dyDescent="0.25">
      <c r="B61" s="1" t="s">
        <v>68</v>
      </c>
      <c r="C61" s="40">
        <f>-(+D54*D38+D55*F38+D56*E38+D57*C38)</f>
        <v>-69403.333333333328</v>
      </c>
    </row>
    <row r="62" spans="2:5" x14ac:dyDescent="0.25">
      <c r="B62" s="1" t="s">
        <v>69</v>
      </c>
      <c r="C62" s="40">
        <f>-H7</f>
        <v>-30000</v>
      </c>
    </row>
    <row r="63" spans="2:5" x14ac:dyDescent="0.25">
      <c r="B63" s="41" t="s">
        <v>70</v>
      </c>
      <c r="C63" s="42">
        <f>+SUM(C60:C62)</f>
        <v>7396.6666666666715</v>
      </c>
    </row>
    <row r="65" spans="2:2" x14ac:dyDescent="0.25">
      <c r="B65" t="s">
        <v>97</v>
      </c>
    </row>
    <row r="66" spans="2:2" x14ac:dyDescent="0.25">
      <c r="B66" t="s">
        <v>98</v>
      </c>
    </row>
  </sheetData>
  <mergeCells count="6">
    <mergeCell ref="B2:I2"/>
    <mergeCell ref="C7:E7"/>
    <mergeCell ref="H7:J7"/>
    <mergeCell ref="G9:H9"/>
    <mergeCell ref="B16:I16"/>
    <mergeCell ref="B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2:J55"/>
  <sheetViews>
    <sheetView tabSelected="1" topLeftCell="A20" zoomScaleNormal="100" workbookViewId="0">
      <selection activeCell="D60" sqref="D60"/>
    </sheetView>
  </sheetViews>
  <sheetFormatPr baseColWidth="10" defaultRowHeight="15" x14ac:dyDescent="0.25"/>
  <cols>
    <col min="1" max="1" width="3.42578125" customWidth="1"/>
    <col min="2" max="2" width="25" customWidth="1"/>
    <col min="3" max="3" width="12.42578125" bestFit="1" customWidth="1"/>
    <col min="4" max="5" width="12.5703125" bestFit="1" customWidth="1"/>
    <col min="6" max="6" width="8.42578125" bestFit="1" customWidth="1"/>
    <col min="7" max="7" width="27" customWidth="1"/>
    <col min="8" max="8" width="8" bestFit="1" customWidth="1"/>
    <col min="9" max="9" width="8.140625" customWidth="1"/>
    <col min="10" max="10" width="10.5703125" bestFit="1" customWidth="1"/>
  </cols>
  <sheetData>
    <row r="2" spans="2:10" ht="15.75" x14ac:dyDescent="0.25">
      <c r="B2" s="51" t="s">
        <v>0</v>
      </c>
      <c r="C2" s="51"/>
      <c r="D2" s="51"/>
      <c r="E2" s="51"/>
      <c r="F2" s="51"/>
      <c r="G2" s="51"/>
      <c r="H2" s="51"/>
      <c r="I2" s="51"/>
    </row>
    <row r="4" spans="2:10" ht="30" x14ac:dyDescent="0.25">
      <c r="B4" s="27" t="s">
        <v>12</v>
      </c>
      <c r="C4" s="27" t="s">
        <v>4</v>
      </c>
      <c r="D4" s="27" t="s">
        <v>48</v>
      </c>
      <c r="E4" s="27" t="s">
        <v>5</v>
      </c>
      <c r="G4" s="27" t="s">
        <v>13</v>
      </c>
      <c r="H4" s="27" t="s">
        <v>3</v>
      </c>
      <c r="I4" s="8" t="s">
        <v>34</v>
      </c>
      <c r="J4" s="8" t="s">
        <v>11</v>
      </c>
    </row>
    <row r="5" spans="2:10" ht="30" x14ac:dyDescent="0.25">
      <c r="B5" s="6" t="s">
        <v>9</v>
      </c>
      <c r="C5" s="4">
        <v>1.5</v>
      </c>
      <c r="D5" s="4">
        <v>2</v>
      </c>
      <c r="E5" s="4">
        <v>3.5</v>
      </c>
      <c r="G5" s="10" t="s">
        <v>104</v>
      </c>
      <c r="H5" s="26">
        <v>30</v>
      </c>
      <c r="I5" s="26">
        <v>20</v>
      </c>
      <c r="J5" s="26">
        <v>50</v>
      </c>
    </row>
    <row r="6" spans="2:10" ht="30" x14ac:dyDescent="0.25">
      <c r="B6" s="6" t="s">
        <v>10</v>
      </c>
      <c r="C6" s="4">
        <v>5</v>
      </c>
      <c r="D6" s="4">
        <v>9</v>
      </c>
      <c r="E6" s="4">
        <v>15</v>
      </c>
      <c r="G6" s="6" t="s">
        <v>39</v>
      </c>
      <c r="H6" s="26">
        <v>900</v>
      </c>
      <c r="I6" s="26">
        <v>100</v>
      </c>
      <c r="J6" s="26">
        <v>900</v>
      </c>
    </row>
    <row r="7" spans="2:10" x14ac:dyDescent="0.25">
      <c r="B7" s="6" t="s">
        <v>33</v>
      </c>
      <c r="C7" s="53">
        <v>30</v>
      </c>
      <c r="D7" s="54"/>
      <c r="E7" s="55"/>
      <c r="G7" s="10" t="s">
        <v>40</v>
      </c>
      <c r="H7" s="56">
        <v>30000</v>
      </c>
      <c r="I7" s="56"/>
      <c r="J7" s="56"/>
    </row>
    <row r="8" spans="2:10" ht="30" x14ac:dyDescent="0.25">
      <c r="B8" s="6" t="s">
        <v>6</v>
      </c>
      <c r="C8" s="4">
        <v>8</v>
      </c>
      <c r="D8" s="4">
        <v>12</v>
      </c>
      <c r="E8" s="4">
        <v>30</v>
      </c>
      <c r="H8" s="2"/>
      <c r="I8" s="2"/>
    </row>
    <row r="9" spans="2:10" x14ac:dyDescent="0.25">
      <c r="B9" s="6" t="s">
        <v>7</v>
      </c>
      <c r="C9" s="4">
        <v>15</v>
      </c>
      <c r="D9" s="4">
        <v>27</v>
      </c>
      <c r="E9" s="4">
        <v>60</v>
      </c>
      <c r="G9" s="52" t="s">
        <v>35</v>
      </c>
      <c r="H9" s="52"/>
    </row>
    <row r="10" spans="2:10" ht="30" x14ac:dyDescent="0.25">
      <c r="B10" s="6" t="s">
        <v>8</v>
      </c>
      <c r="C10" s="4">
        <v>2100</v>
      </c>
      <c r="D10" s="4">
        <v>1200</v>
      </c>
      <c r="E10" s="4">
        <v>1000</v>
      </c>
      <c r="G10" s="15" t="s">
        <v>38</v>
      </c>
      <c r="H10" s="38">
        <v>10000</v>
      </c>
    </row>
    <row r="11" spans="2:10" x14ac:dyDescent="0.25">
      <c r="G11" s="15" t="s">
        <v>36</v>
      </c>
      <c r="H11" s="39">
        <v>55</v>
      </c>
    </row>
    <row r="12" spans="2:10" x14ac:dyDescent="0.25">
      <c r="G12" s="15" t="s">
        <v>37</v>
      </c>
      <c r="H12" s="39">
        <v>85</v>
      </c>
    </row>
    <row r="14" spans="2:10" ht="15.75" x14ac:dyDescent="0.25">
      <c r="B14" s="51" t="s">
        <v>103</v>
      </c>
      <c r="C14" s="51"/>
      <c r="D14" s="51"/>
      <c r="E14" s="51"/>
      <c r="F14" s="51"/>
      <c r="G14" s="51"/>
      <c r="H14" s="51"/>
      <c r="I14" s="51"/>
    </row>
    <row r="16" spans="2:10" x14ac:dyDescent="0.25">
      <c r="B16" t="s">
        <v>100</v>
      </c>
    </row>
    <row r="17" spans="2:5" x14ac:dyDescent="0.25">
      <c r="B17" s="32" t="s">
        <v>99</v>
      </c>
    </row>
    <row r="18" spans="2:5" x14ac:dyDescent="0.25">
      <c r="B18" s="1"/>
      <c r="C18" s="25" t="s">
        <v>1</v>
      </c>
      <c r="D18" s="25" t="s">
        <v>47</v>
      </c>
      <c r="E18" s="25" t="s">
        <v>5</v>
      </c>
    </row>
    <row r="19" spans="2:5" x14ac:dyDescent="0.25">
      <c r="B19" s="1" t="s">
        <v>22</v>
      </c>
      <c r="C19" s="13">
        <f>+SUM(C20:C24)</f>
        <v>11.416666666666668</v>
      </c>
      <c r="D19" s="13">
        <f>+SUM(D20:D24)</f>
        <v>17.5</v>
      </c>
      <c r="E19" s="13">
        <f>+SUM(E20:E24)</f>
        <v>37.75</v>
      </c>
    </row>
    <row r="20" spans="2:5" x14ac:dyDescent="0.25">
      <c r="B20" s="14" t="s">
        <v>46</v>
      </c>
      <c r="C20" s="33">
        <f>+$H$11/100*C5</f>
        <v>0.82500000000000007</v>
      </c>
      <c r="D20" s="33">
        <f t="shared" ref="D20:E20" si="0">+$H$11/100*D5</f>
        <v>1.1000000000000001</v>
      </c>
      <c r="E20" s="33">
        <f t="shared" si="0"/>
        <v>1.9250000000000003</v>
      </c>
    </row>
    <row r="21" spans="2:5" x14ac:dyDescent="0.25">
      <c r="B21" s="14" t="s">
        <v>42</v>
      </c>
      <c r="C21" s="33">
        <f>+$H$12/100*C5</f>
        <v>1.2749999999999999</v>
      </c>
      <c r="D21" s="33">
        <f t="shared" ref="D21:E21" si="1">+$H$12/100*D5</f>
        <v>1.7</v>
      </c>
      <c r="E21" s="33">
        <f t="shared" si="1"/>
        <v>2.9750000000000001</v>
      </c>
    </row>
    <row r="22" spans="2:5" x14ac:dyDescent="0.25">
      <c r="B22" s="14" t="s">
        <v>44</v>
      </c>
      <c r="C22" s="33">
        <f>+$H$5/60*C6</f>
        <v>2.5</v>
      </c>
      <c r="D22" s="33">
        <f t="shared" ref="D22:E22" si="2">+$H$5/60*D6</f>
        <v>4.5</v>
      </c>
      <c r="E22" s="33">
        <f t="shared" si="2"/>
        <v>7.5</v>
      </c>
    </row>
    <row r="23" spans="2:5" x14ac:dyDescent="0.25">
      <c r="B23" s="14" t="s">
        <v>43</v>
      </c>
      <c r="C23" s="33">
        <f>+(C7/100*C5)*($I$5/60)</f>
        <v>0.14999999999999997</v>
      </c>
      <c r="D23" s="33">
        <f>+(C7/100*D5)*($I$5/60)</f>
        <v>0.19999999999999998</v>
      </c>
      <c r="E23" s="33">
        <f>+(C7/100*E5)*($I$5/60)</f>
        <v>0.35</v>
      </c>
    </row>
    <row r="24" spans="2:5" x14ac:dyDescent="0.25">
      <c r="B24" s="14" t="s">
        <v>45</v>
      </c>
      <c r="C24" s="33">
        <f>+$J$5/60*C8</f>
        <v>6.666666666666667</v>
      </c>
      <c r="D24" s="33">
        <f t="shared" ref="D24:E24" si="3">+$J$5/60*D8</f>
        <v>10</v>
      </c>
      <c r="E24" s="33">
        <f t="shared" si="3"/>
        <v>25</v>
      </c>
    </row>
    <row r="25" spans="2:5" x14ac:dyDescent="0.25">
      <c r="B25" s="18" t="s">
        <v>2</v>
      </c>
      <c r="C25" s="13">
        <f t="shared" ref="C25:D25" si="4">+C9</f>
        <v>15</v>
      </c>
      <c r="D25" s="13">
        <f t="shared" si="4"/>
        <v>27</v>
      </c>
      <c r="E25" s="13">
        <f>+E9</f>
        <v>60</v>
      </c>
    </row>
    <row r="26" spans="2:5" x14ac:dyDescent="0.25">
      <c r="B26" s="18" t="s">
        <v>23</v>
      </c>
      <c r="C26" s="13">
        <f>+C25-C19</f>
        <v>3.5833333333333321</v>
      </c>
      <c r="D26" s="13">
        <f>+D25-D19</f>
        <v>9.5</v>
      </c>
      <c r="E26" s="13">
        <f>+E25-E19</f>
        <v>22.25</v>
      </c>
    </row>
    <row r="27" spans="2:5" x14ac:dyDescent="0.25">
      <c r="B27" s="19" t="s">
        <v>24</v>
      </c>
      <c r="C27" s="20">
        <f>+C26/C8</f>
        <v>0.44791666666666652</v>
      </c>
      <c r="D27" s="20">
        <f>+D26/D8</f>
        <v>0.79166666666666663</v>
      </c>
      <c r="E27" s="20">
        <f>+E26/E8</f>
        <v>0.7416666666666667</v>
      </c>
    </row>
    <row r="28" spans="2:5" x14ac:dyDescent="0.25">
      <c r="B28" s="35" t="s">
        <v>25</v>
      </c>
      <c r="C28" s="36" t="str">
        <f>+IF(AND(C27&gt;D27,C27&gt;E27),"1º",IF(AND(C27&gt;D27,C27&lt;E27),"2º",IF(AND(C27&lt;D27,C27&gt;E27),"2º","3º")))</f>
        <v>3º</v>
      </c>
      <c r="D28" s="36" t="str">
        <f>+IF(AND(D27&gt;E27,D27&gt;C27),"1º",IF(AND(D27&gt;E27,D27&lt;C27),"2º",IF(AND(D27&lt;E27,D27&gt;C27),"2º","3º")))</f>
        <v>1º</v>
      </c>
      <c r="E28" s="36" t="str">
        <f>+IF(AND(E27&gt;C27,E27&gt;D27),"1º",IF(AND(E27&gt;C27,E27&lt;D27),"2º",IF(AND(E27&lt;C27,E27&gt;D27),"2º","3º")))</f>
        <v>2º</v>
      </c>
    </row>
    <row r="30" spans="2:5" x14ac:dyDescent="0.25">
      <c r="B30" t="s">
        <v>106</v>
      </c>
    </row>
    <row r="32" spans="2:5" x14ac:dyDescent="0.25">
      <c r="B32" t="s">
        <v>101</v>
      </c>
    </row>
    <row r="33" spans="2:7" x14ac:dyDescent="0.25">
      <c r="B33" t="s">
        <v>75</v>
      </c>
    </row>
    <row r="35" spans="2:7" x14ac:dyDescent="0.25">
      <c r="B35" s="49" t="s">
        <v>107</v>
      </c>
      <c r="C35" s="50">
        <f>+E27</f>
        <v>0.7416666666666667</v>
      </c>
      <c r="D35" t="s">
        <v>102</v>
      </c>
    </row>
    <row r="37" spans="2:7" x14ac:dyDescent="0.25">
      <c r="B37" t="s">
        <v>78</v>
      </c>
    </row>
    <row r="39" spans="2:7" x14ac:dyDescent="0.25">
      <c r="B39" s="49" t="s">
        <v>108</v>
      </c>
      <c r="C39" s="50">
        <f>+(C35*'Apartado 1'!C8)+'Apartado 3'!C19</f>
        <v>17.350000000000001</v>
      </c>
    </row>
    <row r="41" spans="2:7" x14ac:dyDescent="0.25">
      <c r="B41" t="s">
        <v>76</v>
      </c>
    </row>
    <row r="42" spans="2:7" x14ac:dyDescent="0.25">
      <c r="B42" t="s">
        <v>77</v>
      </c>
    </row>
    <row r="44" spans="2:7" x14ac:dyDescent="0.25">
      <c r="B44" s="1"/>
      <c r="C44" s="46" t="s">
        <v>1</v>
      </c>
      <c r="D44" s="46" t="s">
        <v>47</v>
      </c>
      <c r="E44" s="46" t="s">
        <v>5</v>
      </c>
      <c r="F44" s="44">
        <f>C55/100</f>
        <v>17.36</v>
      </c>
      <c r="G44" t="s">
        <v>73</v>
      </c>
    </row>
    <row r="45" spans="2:7" x14ac:dyDescent="0.25">
      <c r="B45" s="1" t="s">
        <v>22</v>
      </c>
      <c r="C45" s="13">
        <f>SUM(C46:C50)</f>
        <v>11.416666666666668</v>
      </c>
      <c r="D45" s="13">
        <f t="shared" ref="D45:E45" si="5">SUM(D46:D50)</f>
        <v>17.5</v>
      </c>
      <c r="E45" s="13">
        <f t="shared" si="5"/>
        <v>37.75</v>
      </c>
    </row>
    <row r="46" spans="2:7" x14ac:dyDescent="0.25">
      <c r="B46" s="14" t="s">
        <v>46</v>
      </c>
      <c r="C46" s="33">
        <f>+$H$11/100*C5</f>
        <v>0.82500000000000007</v>
      </c>
      <c r="D46" s="33">
        <f t="shared" ref="D46:E46" si="6">+$H$11/100*D5</f>
        <v>1.1000000000000001</v>
      </c>
      <c r="E46" s="33">
        <f t="shared" si="6"/>
        <v>1.9250000000000003</v>
      </c>
    </row>
    <row r="47" spans="2:7" x14ac:dyDescent="0.25">
      <c r="B47" s="14" t="s">
        <v>42</v>
      </c>
      <c r="C47" s="33">
        <f>+$H$12/100*C5</f>
        <v>1.2749999999999999</v>
      </c>
      <c r="D47" s="33">
        <f t="shared" ref="D47:E47" si="7">+$H$12/100*D5</f>
        <v>1.7</v>
      </c>
      <c r="E47" s="33">
        <f t="shared" si="7"/>
        <v>2.9750000000000001</v>
      </c>
    </row>
    <row r="48" spans="2:7" x14ac:dyDescent="0.25">
      <c r="B48" s="14" t="s">
        <v>44</v>
      </c>
      <c r="C48" s="33">
        <f>+$H$5/60*C6</f>
        <v>2.5</v>
      </c>
      <c r="D48" s="33">
        <f t="shared" ref="D48:E48" si="8">+$H$5/60*D6</f>
        <v>4.5</v>
      </c>
      <c r="E48" s="33">
        <f t="shared" si="8"/>
        <v>7.5</v>
      </c>
      <c r="F48" s="44">
        <f>+D55/100</f>
        <v>27</v>
      </c>
      <c r="G48" t="s">
        <v>72</v>
      </c>
    </row>
    <row r="49" spans="2:7" x14ac:dyDescent="0.25">
      <c r="B49" s="14" t="s">
        <v>43</v>
      </c>
      <c r="C49" s="33">
        <f>+(C7/100*C5)*($I$5/60)</f>
        <v>0.14999999999999997</v>
      </c>
      <c r="D49" s="33">
        <f>+(C7/100*D5)*($I$5/60)</f>
        <v>0.19999999999999998</v>
      </c>
      <c r="E49" s="33">
        <f>+(C7/100*E5)*($I$5/60)</f>
        <v>0.35</v>
      </c>
    </row>
    <row r="50" spans="2:7" x14ac:dyDescent="0.25">
      <c r="B50" s="14" t="s">
        <v>45</v>
      </c>
      <c r="C50" s="33">
        <f>+$J$5/60*C8</f>
        <v>6.666666666666667</v>
      </c>
      <c r="D50" s="33">
        <f t="shared" ref="D50:E50" si="9">+$J$5/60*D8</f>
        <v>10</v>
      </c>
      <c r="E50" s="33">
        <f t="shared" si="9"/>
        <v>25</v>
      </c>
    </row>
    <row r="51" spans="2:7" x14ac:dyDescent="0.25">
      <c r="B51" s="18" t="s">
        <v>2</v>
      </c>
      <c r="C51" s="13">
        <f>F44</f>
        <v>17.36</v>
      </c>
      <c r="D51" s="13">
        <f>F48</f>
        <v>27</v>
      </c>
      <c r="E51" s="13">
        <f>F52</f>
        <v>60</v>
      </c>
    </row>
    <row r="52" spans="2:7" x14ac:dyDescent="0.25">
      <c r="B52" s="18" t="s">
        <v>23</v>
      </c>
      <c r="C52" s="13">
        <f>+C51-C45</f>
        <v>5.9433333333333316</v>
      </c>
      <c r="D52" s="13">
        <f>+D51-D45</f>
        <v>9.5</v>
      </c>
      <c r="E52" s="13">
        <f>+E51-E45</f>
        <v>22.25</v>
      </c>
      <c r="F52" s="44">
        <f>+E55/100</f>
        <v>60</v>
      </c>
      <c r="G52" t="s">
        <v>74</v>
      </c>
    </row>
    <row r="53" spans="2:7" x14ac:dyDescent="0.25">
      <c r="B53" s="19" t="s">
        <v>24</v>
      </c>
      <c r="C53" s="20">
        <f>+C52/C8</f>
        <v>0.74291666666666645</v>
      </c>
      <c r="D53" s="20">
        <f t="shared" ref="D53:E53" si="10">+D52/D8</f>
        <v>0.79166666666666663</v>
      </c>
      <c r="E53" s="20">
        <f t="shared" si="10"/>
        <v>0.7416666666666667</v>
      </c>
    </row>
    <row r="54" spans="2:7" x14ac:dyDescent="0.25">
      <c r="B54" s="35" t="s">
        <v>25</v>
      </c>
      <c r="C54" s="36" t="str">
        <f>+IF(AND(C53&gt;D53,C53&gt;E53),"1º",IF(AND(C53&gt;D53,C53&lt;E53),"2º",IF(AND(C53&lt;D53,C53&gt;E53),"2º","3º")))</f>
        <v>2º</v>
      </c>
      <c r="D54" s="36" t="str">
        <f>+IF(AND(D53&gt;E53,D53&gt;C53),"1º",IF(AND(D53&gt;E53,D53&lt;C53),"2º",IF(AND(D53&lt;E53,D53&gt;C53),"2º","3º")))</f>
        <v>1º</v>
      </c>
      <c r="E54" s="36" t="str">
        <f>+IF(AND(E53&gt;C53,E53&gt;D53),"1º",IF(AND(E53&gt;C53,E53&lt;D53),"2º",IF(AND(E53&lt;C53,E53&gt;D53),"2º","3º")))</f>
        <v>3º</v>
      </c>
    </row>
    <row r="55" spans="2:7" hidden="1" x14ac:dyDescent="0.25">
      <c r="C55" s="47">
        <v>1736</v>
      </c>
      <c r="D55" s="48">
        <v>2700</v>
      </c>
      <c r="E55" s="45">
        <v>6000</v>
      </c>
    </row>
  </sheetData>
  <mergeCells count="5">
    <mergeCell ref="G9:H9"/>
    <mergeCell ref="B14:I14"/>
    <mergeCell ref="B2:I2"/>
    <mergeCell ref="C7:E7"/>
    <mergeCell ref="H7:J7"/>
  </mergeCell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3" r:id="rId4" name="Scroll Bar 11">
              <controlPr defaultSiz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7</xdr:col>
                    <xdr:colOff>257175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5" name="Scroll Bar 12">
              <controlPr defaultSize="0" autoPict="0">
                <anchor moveWithCells="1">
                  <from>
                    <xdr:col>4</xdr:col>
                    <xdr:colOff>809625</xdr:colOff>
                    <xdr:row>52</xdr:row>
                    <xdr:rowOff>0</xdr:rowOff>
                  </from>
                  <to>
                    <xdr:col>7</xdr:col>
                    <xdr:colOff>266700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6" name="Scroll Bar 17">
              <controlPr defaultSize="0" autoPict="0">
                <anchor moveWithCells="1">
                  <from>
                    <xdr:col>5</xdr:col>
                    <xdr:colOff>0</xdr:colOff>
                    <xdr:row>43</xdr:row>
                    <xdr:rowOff>180975</xdr:rowOff>
                  </from>
                  <to>
                    <xdr:col>7</xdr:col>
                    <xdr:colOff>228600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Apartado 1</vt:lpstr>
      <vt:lpstr>Apartado 2</vt:lpstr>
      <vt:lpstr>Apartado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BFFS</cp:lastModifiedBy>
  <cp:lastPrinted>2014-10-27T14:01:44Z</cp:lastPrinted>
  <dcterms:created xsi:type="dcterms:W3CDTF">2014-10-11T08:01:22Z</dcterms:created>
  <dcterms:modified xsi:type="dcterms:W3CDTF">2015-06-22T11:44:48Z</dcterms:modified>
</cp:coreProperties>
</file>