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050" windowWidth="19200" windowHeight="12180"/>
  </bookViews>
  <sheets>
    <sheet name="Clea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3" i="1" l="1"/>
  <c r="O92" i="1"/>
  <c r="O91" i="1"/>
  <c r="S64" i="1"/>
  <c r="R64" i="1"/>
  <c r="S63" i="1"/>
  <c r="S65" i="1" s="1"/>
  <c r="R63" i="1"/>
  <c r="R65" i="1" s="1"/>
  <c r="R66" i="1" s="1"/>
  <c r="S59" i="1"/>
  <c r="R59" i="1"/>
  <c r="S58" i="1"/>
  <c r="R58" i="1"/>
  <c r="S57" i="1"/>
  <c r="R57" i="1"/>
  <c r="S56" i="1"/>
  <c r="S60" i="1" s="1"/>
  <c r="R56" i="1"/>
  <c r="R60" i="1" s="1"/>
  <c r="R61" i="1" s="1"/>
  <c r="S48" i="1"/>
  <c r="Q48" i="1"/>
  <c r="Q57" i="1" s="1"/>
  <c r="Q59" i="1" s="1"/>
  <c r="Q64" i="1" s="1"/>
  <c r="Q47" i="1"/>
  <c r="Q56" i="1" s="1"/>
  <c r="Q58" i="1" s="1"/>
  <c r="Q63" i="1" s="1"/>
  <c r="R43" i="1"/>
  <c r="R47" i="1" s="1"/>
  <c r="S42" i="1"/>
  <c r="S43" i="1" s="1"/>
  <c r="S40" i="1"/>
  <c r="R40" i="1"/>
  <c r="O35" i="1"/>
  <c r="O34" i="1"/>
  <c r="O33" i="1"/>
  <c r="S32" i="1"/>
  <c r="R32" i="1"/>
  <c r="O30" i="1"/>
  <c r="O29" i="1"/>
  <c r="S26" i="1"/>
  <c r="Q24" i="1"/>
  <c r="Q23" i="1"/>
  <c r="S23" i="1" s="1"/>
  <c r="S18" i="1"/>
  <c r="S90" i="1" s="1"/>
  <c r="R18" i="1"/>
  <c r="R48" i="1" s="1"/>
  <c r="D16" i="1"/>
  <c r="S13" i="1"/>
  <c r="J12" i="1"/>
  <c r="H12" i="1"/>
  <c r="I12" i="1" s="1"/>
  <c r="K12" i="1" s="1"/>
  <c r="S11" i="1"/>
  <c r="S20" i="1" s="1"/>
  <c r="R11" i="1"/>
  <c r="R20" i="1" s="1"/>
  <c r="J11" i="1"/>
  <c r="H11" i="1"/>
  <c r="I11" i="1" s="1"/>
  <c r="K11" i="1" s="1"/>
  <c r="S10" i="1"/>
  <c r="S30" i="1" s="1"/>
  <c r="S31" i="1" s="1"/>
  <c r="S33" i="1" s="1"/>
  <c r="R10" i="1"/>
  <c r="R30" i="1" s="1"/>
  <c r="R31" i="1" s="1"/>
  <c r="R33" i="1" s="1"/>
  <c r="R92" i="1" l="1"/>
  <c r="R34" i="1"/>
  <c r="R35" i="1" s="1"/>
  <c r="S34" i="1"/>
  <c r="S35" i="1" s="1"/>
  <c r="S92" i="1"/>
  <c r="R36" i="1"/>
  <c r="R90" i="1"/>
  <c r="R16" i="1"/>
  <c r="R17" i="1" s="1"/>
  <c r="S16" i="1"/>
  <c r="S37" i="1" l="1"/>
  <c r="S38" i="1" s="1"/>
  <c r="R37" i="1"/>
  <c r="R38" i="1" s="1"/>
  <c r="S47" i="1"/>
  <c r="S17" i="1"/>
  <c r="R89" i="1"/>
  <c r="R91" i="1" s="1"/>
  <c r="R19" i="1"/>
  <c r="R49" i="1" l="1"/>
  <c r="R21" i="1"/>
  <c r="S19" i="1"/>
  <c r="S89" i="1"/>
  <c r="S91" i="1" s="1"/>
  <c r="S49" i="1" l="1"/>
  <c r="S21" i="1"/>
  <c r="S93" i="1" s="1"/>
  <c r="R93" i="1"/>
  <c r="R50" i="1"/>
  <c r="R51" i="1" s="1"/>
  <c r="R52" i="1" s="1"/>
  <c r="S25" i="1" l="1"/>
  <c r="S27" i="1" s="1"/>
  <c r="R53" i="1"/>
  <c r="S50" i="1"/>
  <c r="S51" i="1" l="1"/>
  <c r="S52" i="1" s="1"/>
  <c r="S53" i="1" s="1"/>
  <c r="R68" i="1"/>
  <c r="S68" i="1" l="1"/>
  <c r="R54" i="1"/>
  <c r="R69" i="1"/>
</calcChain>
</file>

<file path=xl/sharedStrings.xml><?xml version="1.0" encoding="utf-8"?>
<sst xmlns="http://schemas.openxmlformats.org/spreadsheetml/2006/main" count="80" uniqueCount="64">
  <si>
    <t>Enunciado</t>
  </si>
  <si>
    <t>Capacidad y recursos</t>
  </si>
  <si>
    <t>Demanda semanal, necesidades y ajustes</t>
  </si>
  <si>
    <t>Habitaciones</t>
  </si>
  <si>
    <t>Operarios</t>
  </si>
  <si>
    <t xml:space="preserve">Horas de limpieza </t>
  </si>
  <si>
    <t>Horas Extras Necesarias</t>
  </si>
  <si>
    <t>PARTE I</t>
  </si>
  <si>
    <t>Hotel I</t>
  </si>
  <si>
    <t>Hotel II</t>
  </si>
  <si>
    <t>Habitación</t>
  </si>
  <si>
    <t>Zonas Comunes</t>
  </si>
  <si>
    <t>A1. Capacidad y recursos disponibles</t>
  </si>
  <si>
    <t>Requeridas</t>
  </si>
  <si>
    <t>Contratadas</t>
  </si>
  <si>
    <t>Operarios de limpieza</t>
  </si>
  <si>
    <t>Timpo promedio limpieza</t>
  </si>
  <si>
    <t>A2. Demanda semanal, necesidades y ajustes</t>
  </si>
  <si>
    <t>Tasa de ocupación</t>
  </si>
  <si>
    <t>Habitaciones ocupadas semana</t>
  </si>
  <si>
    <t>Coste mano de obra</t>
  </si>
  <si>
    <t>Horas de limpieza requeridas</t>
  </si>
  <si>
    <t>Hora normal</t>
  </si>
  <si>
    <t>Zonas comunes</t>
  </si>
  <si>
    <t>Hora extra</t>
  </si>
  <si>
    <t>Total horas requeridas</t>
  </si>
  <si>
    <t>Total horas contratadas</t>
  </si>
  <si>
    <t>Horas extras necesarias</t>
  </si>
  <si>
    <t>B. Contratación de  operarios vs. horas extras</t>
  </si>
  <si>
    <t>Nuevo operario:</t>
  </si>
  <si>
    <t>Coste semana:</t>
  </si>
  <si>
    <t>Coste hora:</t>
  </si>
  <si>
    <t>Neceisdades de horas extras semanales:</t>
  </si>
  <si>
    <t>Coste por hora extra:</t>
  </si>
  <si>
    <t>Coste maximo por hora extra:</t>
  </si>
  <si>
    <t>C. Aumento demanda, contratación de  operarios vs. horas extras</t>
  </si>
  <si>
    <t>Horas semana por operario:</t>
  </si>
  <si>
    <t>Operarios requeridos:</t>
  </si>
  <si>
    <t>Horas extras necesarias:</t>
  </si>
  <si>
    <t xml:space="preserve">D. Incorporacion de aparatos de limpieza de ozono, analisis diferencial </t>
  </si>
  <si>
    <t>Tasa de ocupación media anual:</t>
  </si>
  <si>
    <t>Tasa de ahorro semanal</t>
  </si>
  <si>
    <t>Costes diferenciales en mano de obra</t>
  </si>
  <si>
    <t>Horas de limpieza necesarias</t>
  </si>
  <si>
    <t>Ahorro total</t>
  </si>
  <si>
    <t>Ahorro diferencial</t>
  </si>
  <si>
    <t>Horas Extras</t>
  </si>
  <si>
    <t>Horas Normales</t>
  </si>
  <si>
    <t>Operarios semana</t>
  </si>
  <si>
    <t>Ahorro financiero</t>
  </si>
  <si>
    <t>Costes diferenciales por disponibilidad de equipos</t>
  </si>
  <si>
    <t>Amortización</t>
  </si>
  <si>
    <t>Mantenimiento</t>
  </si>
  <si>
    <t>Subtotal incremento de costes:</t>
  </si>
  <si>
    <t>Costes diferenciales uso de equipos</t>
  </si>
  <si>
    <t>Ahorro productos de limpieza</t>
  </si>
  <si>
    <t>Ahorro limpieza:</t>
  </si>
  <si>
    <t>Resultado estimado de la alternativa</t>
  </si>
  <si>
    <t>Ahorro generado total:</t>
  </si>
  <si>
    <t>PARTE II</t>
  </si>
  <si>
    <t>A. Capacidad y recursos disponibles</t>
  </si>
  <si>
    <t>Jornada:</t>
  </si>
  <si>
    <t>40 h/semana</t>
  </si>
  <si>
    <t>Tiempo promedio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</si>
</sst>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\ &quot;hab&quot;"/>
    <numFmt numFmtId="165" formatCode="0\ &quot;min&quot;"/>
    <numFmt numFmtId="166" formatCode="0\ &quot;h/semana&quot;"/>
    <numFmt numFmtId="167" formatCode="0\ &quot;h&quot;"/>
    <numFmt numFmtId="168" formatCode="0\ &quot;oper&quot;"/>
    <numFmt numFmtId="169" formatCode="0\ &quot;€/hr&quot;"/>
    <numFmt numFmtId="170" formatCode="0\ &quot;€/sema&quot;"/>
    <numFmt numFmtId="171" formatCode="0.0\ &quot;€/hr&quot;"/>
    <numFmt numFmtId="172" formatCode="0.0000"/>
    <numFmt numFmtId="173" formatCode="0\ &quot;operarios&quot;"/>
    <numFmt numFmtId="174" formatCode="0\ &quot;minut/habit&quot;"/>
    <numFmt numFmtId="175" formatCode="0.0\ &quot;h/semana&quot;"/>
    <numFmt numFmtId="176" formatCode="0.0\ &quot;operarios&quot;"/>
    <numFmt numFmtId="177" formatCode="0.0\ &quot;€/semana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/>
    <xf numFmtId="0" fontId="3" fillId="0" borderId="6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/>
    <xf numFmtId="166" fontId="3" fillId="0" borderId="3" xfId="0" applyNumberFormat="1" applyFont="1" applyBorder="1"/>
    <xf numFmtId="167" fontId="3" fillId="0" borderId="2" xfId="0" applyNumberFormat="1" applyFont="1" applyBorder="1" applyAlignment="1">
      <alignment horizontal="center" vertical="center"/>
    </xf>
    <xf numFmtId="167" fontId="0" fillId="0" borderId="3" xfId="0" applyNumberFormat="1" applyBorder="1" applyAlignment="1">
      <alignment horizontal="center"/>
    </xf>
    <xf numFmtId="168" fontId="3" fillId="0" borderId="10" xfId="0" applyNumberFormat="1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165" fontId="3" fillId="0" borderId="6" xfId="0" applyNumberFormat="1" applyFont="1" applyBorder="1"/>
    <xf numFmtId="166" fontId="3" fillId="0" borderId="8" xfId="0" applyNumberFormat="1" applyFont="1" applyBorder="1"/>
    <xf numFmtId="167" fontId="3" fillId="0" borderId="6" xfId="0" applyNumberFormat="1" applyFont="1" applyBorder="1" applyAlignment="1">
      <alignment horizontal="center" vertical="center"/>
    </xf>
    <xf numFmtId="167" fontId="0" fillId="0" borderId="8" xfId="0" applyNumberFormat="1" applyBorder="1" applyAlignment="1">
      <alignment horizontal="center"/>
    </xf>
    <xf numFmtId="0" fontId="3" fillId="0" borderId="2" xfId="0" applyFont="1" applyBorder="1" applyAlignment="1">
      <alignment vertical="center"/>
    </xf>
    <xf numFmtId="165" fontId="3" fillId="0" borderId="3" xfId="0" applyNumberFormat="1" applyFont="1" applyBorder="1"/>
    <xf numFmtId="0" fontId="3" fillId="0" borderId="6" xfId="0" applyFont="1" applyBorder="1" applyAlignment="1">
      <alignment vertical="center"/>
    </xf>
    <xf numFmtId="166" fontId="3" fillId="0" borderId="6" xfId="0" applyNumberFormat="1" applyFont="1" applyBorder="1"/>
    <xf numFmtId="0" fontId="3" fillId="0" borderId="0" xfId="0" applyFont="1"/>
    <xf numFmtId="9" fontId="3" fillId="0" borderId="10" xfId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9" fontId="0" fillId="0" borderId="12" xfId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66" fontId="3" fillId="0" borderId="2" xfId="0" applyNumberFormat="1" applyFont="1" applyBorder="1"/>
    <xf numFmtId="0" fontId="0" fillId="0" borderId="4" xfId="0" applyBorder="1"/>
    <xf numFmtId="169" fontId="0" fillId="0" borderId="5" xfId="0" applyNumberFormat="1" applyBorder="1"/>
    <xf numFmtId="0" fontId="0" fillId="0" borderId="7" xfId="0" applyBorder="1"/>
    <xf numFmtId="169" fontId="0" fillId="0" borderId="8" xfId="0" applyNumberFormat="1" applyBorder="1"/>
    <xf numFmtId="166" fontId="3" fillId="0" borderId="10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left"/>
    </xf>
    <xf numFmtId="169" fontId="3" fillId="0" borderId="6" xfId="0" applyNumberFormat="1" applyFont="1" applyBorder="1" applyAlignment="1">
      <alignment horizontal="left" vertical="center"/>
    </xf>
    <xf numFmtId="166" fontId="3" fillId="0" borderId="11" xfId="0" applyNumberFormat="1" applyFont="1" applyBorder="1" applyAlignment="1">
      <alignment horizontal="left"/>
    </xf>
    <xf numFmtId="9" fontId="3" fillId="0" borderId="10" xfId="1" applyFont="1" applyBorder="1" applyAlignment="1">
      <alignment horizontal="left" vertical="center"/>
    </xf>
    <xf numFmtId="171" fontId="3" fillId="0" borderId="11" xfId="0" applyNumberFormat="1" applyFont="1" applyBorder="1" applyAlignment="1">
      <alignment horizontal="left" vertical="center"/>
    </xf>
    <xf numFmtId="0" fontId="0" fillId="0" borderId="0" xfId="0" applyBorder="1"/>
    <xf numFmtId="0" fontId="3" fillId="0" borderId="9" xfId="0" applyFont="1" applyBorder="1"/>
    <xf numFmtId="0" fontId="3" fillId="0" borderId="10" xfId="0" applyFont="1" applyBorder="1"/>
    <xf numFmtId="0" fontId="0" fillId="0" borderId="10" xfId="0" applyBorder="1"/>
    <xf numFmtId="166" fontId="3" fillId="0" borderId="10" xfId="0" applyNumberFormat="1" applyFont="1" applyBorder="1"/>
    <xf numFmtId="166" fontId="3" fillId="0" borderId="11" xfId="0" applyNumberFormat="1" applyFont="1" applyBorder="1"/>
    <xf numFmtId="172" fontId="0" fillId="0" borderId="0" xfId="0" applyNumberFormat="1"/>
    <xf numFmtId="173" fontId="3" fillId="0" borderId="10" xfId="0" applyNumberFormat="1" applyFont="1" applyBorder="1" applyAlignment="1"/>
    <xf numFmtId="173" fontId="3" fillId="0" borderId="11" xfId="0" applyNumberFormat="1" applyFont="1" applyBorder="1" applyAlignment="1"/>
    <xf numFmtId="0" fontId="3" fillId="0" borderId="0" xfId="0" applyFont="1" applyBorder="1" applyAlignment="1">
      <alignment horizontal="right" vertical="center"/>
    </xf>
    <xf numFmtId="166" fontId="3" fillId="0" borderId="0" xfId="0" applyNumberFormat="1" applyFont="1" applyBorder="1"/>
    <xf numFmtId="0" fontId="0" fillId="0" borderId="0" xfId="0" applyAlignment="1">
      <alignment horizontal="center"/>
    </xf>
    <xf numFmtId="0" fontId="8" fillId="0" borderId="2" xfId="0" applyFont="1" applyBorder="1"/>
    <xf numFmtId="174" fontId="3" fillId="0" borderId="2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8" fillId="0" borderId="6" xfId="0" applyFont="1" applyBorder="1"/>
    <xf numFmtId="166" fontId="3" fillId="0" borderId="6" xfId="0" applyNumberFormat="1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0" fontId="7" fillId="0" borderId="0" xfId="0" applyFont="1"/>
    <xf numFmtId="175" fontId="3" fillId="0" borderId="2" xfId="0" applyNumberFormat="1" applyFont="1" applyBorder="1"/>
    <xf numFmtId="175" fontId="3" fillId="0" borderId="3" xfId="0" applyNumberFormat="1" applyFont="1" applyBorder="1"/>
    <xf numFmtId="0" fontId="8" fillId="0" borderId="0" xfId="0" applyFont="1" applyBorder="1"/>
    <xf numFmtId="166" fontId="3" fillId="0" borderId="5" xfId="0" applyNumberFormat="1" applyFont="1" applyBorder="1"/>
    <xf numFmtId="175" fontId="3" fillId="0" borderId="6" xfId="0" applyNumberFormat="1" applyFont="1" applyBorder="1"/>
    <xf numFmtId="175" fontId="3" fillId="0" borderId="8" xfId="0" applyNumberFormat="1" applyFont="1" applyBorder="1"/>
    <xf numFmtId="175" fontId="3" fillId="0" borderId="0" xfId="0" applyNumberFormat="1" applyFont="1" applyBorder="1"/>
    <xf numFmtId="175" fontId="3" fillId="0" borderId="5" xfId="0" applyNumberFormat="1" applyFont="1" applyBorder="1"/>
    <xf numFmtId="176" fontId="3" fillId="0" borderId="0" xfId="0" applyNumberFormat="1" applyFont="1" applyBorder="1"/>
    <xf numFmtId="176" fontId="3" fillId="0" borderId="5" xfId="0" applyNumberFormat="1" applyFont="1" applyBorder="1"/>
    <xf numFmtId="177" fontId="3" fillId="0" borderId="0" xfId="0" applyNumberFormat="1" applyFont="1" applyBorder="1"/>
    <xf numFmtId="177" fontId="3" fillId="0" borderId="5" xfId="0" applyNumberFormat="1" applyFont="1" applyBorder="1"/>
    <xf numFmtId="177" fontId="3" fillId="0" borderId="2" xfId="0" applyNumberFormat="1" applyFont="1" applyBorder="1" applyAlignment="1"/>
    <xf numFmtId="177" fontId="3" fillId="0" borderId="3" xfId="0" applyNumberFormat="1" applyFont="1" applyBorder="1" applyAlignment="1"/>
    <xf numFmtId="177" fontId="3" fillId="0" borderId="6" xfId="0" applyNumberFormat="1" applyFont="1" applyBorder="1" applyAlignment="1"/>
    <xf numFmtId="177" fontId="3" fillId="0" borderId="8" xfId="0" applyNumberFormat="1" applyFont="1" applyBorder="1" applyAlignment="1"/>
    <xf numFmtId="177" fontId="0" fillId="0" borderId="2" xfId="0" applyNumberFormat="1" applyBorder="1"/>
    <xf numFmtId="177" fontId="0" fillId="0" borderId="3" xfId="0" applyNumberForma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66" fontId="8" fillId="0" borderId="0" xfId="0" applyNumberFormat="1" applyFont="1"/>
    <xf numFmtId="166" fontId="3" fillId="0" borderId="0" xfId="0" applyNumberFormat="1" applyFont="1"/>
    <xf numFmtId="0" fontId="0" fillId="0" borderId="1" xfId="0" applyBorder="1"/>
    <xf numFmtId="0" fontId="0" fillId="0" borderId="0" xfId="0" applyFill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0" fontId="3" fillId="0" borderId="3" xfId="0" applyNumberFormat="1" applyFont="1" applyBorder="1" applyAlignment="1">
      <alignment horizontal="center" vertical="center"/>
    </xf>
    <xf numFmtId="170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workbookViewId="0">
      <selection activeCell="F9" sqref="F9:F10"/>
    </sheetView>
  </sheetViews>
  <sheetFormatPr baseColWidth="10" defaultColWidth="9.140625" defaultRowHeight="15" x14ac:dyDescent="0.25"/>
  <cols>
    <col min="3" max="3" width="16.7109375" bestFit="1" customWidth="1"/>
    <col min="4" max="4" width="12.42578125" customWidth="1"/>
    <col min="6" max="6" width="10.42578125" customWidth="1"/>
    <col min="7" max="7" width="11.5703125" customWidth="1"/>
    <col min="9" max="9" width="10.28515625" customWidth="1"/>
    <col min="10" max="10" width="12.140625" customWidth="1"/>
    <col min="11" max="11" width="10.5703125" customWidth="1"/>
    <col min="14" max="14" width="2.85546875" customWidth="1"/>
    <col min="16" max="16" width="5.85546875" customWidth="1"/>
    <col min="17" max="17" width="15.5703125" customWidth="1"/>
    <col min="18" max="18" width="13.7109375" customWidth="1"/>
    <col min="19" max="19" width="13.42578125" customWidth="1"/>
  </cols>
  <sheetData>
    <row r="1" spans="1:19" x14ac:dyDescent="0.25">
      <c r="A1" t="s">
        <v>0</v>
      </c>
    </row>
    <row r="7" spans="1:19" x14ac:dyDescent="0.25">
      <c r="D7" s="90" t="s">
        <v>1</v>
      </c>
      <c r="E7" s="90"/>
      <c r="F7" s="90"/>
      <c r="G7" s="90"/>
      <c r="H7" s="91" t="s">
        <v>2</v>
      </c>
      <c r="I7" s="91"/>
      <c r="J7" s="91"/>
      <c r="K7" s="91"/>
    </row>
    <row r="8" spans="1:19" ht="15" customHeight="1" x14ac:dyDescent="0.25">
      <c r="D8" s="92" t="s">
        <v>3</v>
      </c>
      <c r="E8" s="95" t="s">
        <v>4</v>
      </c>
      <c r="F8" s="98" t="s">
        <v>63</v>
      </c>
      <c r="G8" s="89"/>
      <c r="H8" s="86"/>
      <c r="I8" s="95" t="s">
        <v>5</v>
      </c>
      <c r="J8" s="95"/>
      <c r="K8" s="99" t="s">
        <v>6</v>
      </c>
      <c r="N8" s="102" t="s">
        <v>7</v>
      </c>
      <c r="O8" s="103"/>
      <c r="P8" s="103"/>
      <c r="Q8" s="103"/>
      <c r="R8" s="90" t="s">
        <v>8</v>
      </c>
      <c r="S8" s="90" t="s">
        <v>9</v>
      </c>
    </row>
    <row r="9" spans="1:19" x14ac:dyDescent="0.25">
      <c r="D9" s="93"/>
      <c r="E9" s="96"/>
      <c r="F9" s="96" t="s">
        <v>10</v>
      </c>
      <c r="G9" s="105" t="s">
        <v>11</v>
      </c>
      <c r="I9" s="96"/>
      <c r="J9" s="96"/>
      <c r="K9" s="100"/>
      <c r="N9" s="1" t="s">
        <v>12</v>
      </c>
      <c r="R9" s="104"/>
      <c r="S9" s="104"/>
    </row>
    <row r="10" spans="1:19" x14ac:dyDescent="0.25">
      <c r="D10" s="94"/>
      <c r="E10" s="97"/>
      <c r="F10" s="97"/>
      <c r="G10" s="106"/>
      <c r="I10" s="2" t="s">
        <v>13</v>
      </c>
      <c r="J10" s="2" t="s">
        <v>14</v>
      </c>
      <c r="K10" s="101"/>
      <c r="O10" s="107" t="s">
        <v>3</v>
      </c>
      <c r="P10" s="108"/>
      <c r="Q10" s="108"/>
      <c r="R10" s="3">
        <f>D11</f>
        <v>200</v>
      </c>
      <c r="S10" s="4">
        <f>D12</f>
        <v>240</v>
      </c>
    </row>
    <row r="11" spans="1:19" x14ac:dyDescent="0.25">
      <c r="C11" s="5" t="s">
        <v>8</v>
      </c>
      <c r="D11" s="6">
        <v>200</v>
      </c>
      <c r="E11" s="7">
        <v>6</v>
      </c>
      <c r="F11" s="8">
        <v>15</v>
      </c>
      <c r="G11" s="9">
        <v>10</v>
      </c>
      <c r="H11" s="6">
        <f>D16*D11</f>
        <v>140</v>
      </c>
      <c r="I11" s="10">
        <f>((H11*(F11/60))*7)+G11</f>
        <v>255</v>
      </c>
      <c r="J11" s="10">
        <f>E11*40</f>
        <v>240</v>
      </c>
      <c r="K11" s="11">
        <f>I11-J11</f>
        <v>15</v>
      </c>
      <c r="O11" s="107" t="s">
        <v>15</v>
      </c>
      <c r="P11" s="108"/>
      <c r="Q11" s="108"/>
      <c r="R11" s="12">
        <f>E11</f>
        <v>6</v>
      </c>
      <c r="S11" s="13">
        <f>E12</f>
        <v>5</v>
      </c>
    </row>
    <row r="12" spans="1:19" x14ac:dyDescent="0.25">
      <c r="C12" s="5" t="s">
        <v>9</v>
      </c>
      <c r="D12" s="14">
        <v>240</v>
      </c>
      <c r="E12" s="2">
        <v>5</v>
      </c>
      <c r="F12" s="15">
        <v>10</v>
      </c>
      <c r="G12" s="16">
        <v>14</v>
      </c>
      <c r="H12" s="14">
        <f>D16*D12</f>
        <v>168</v>
      </c>
      <c r="I12" s="17">
        <f>((H12*(F12/60))*7)+G12</f>
        <v>210</v>
      </c>
      <c r="J12" s="17">
        <f>E12*40</f>
        <v>200</v>
      </c>
      <c r="K12" s="18">
        <f>I12-J12</f>
        <v>10</v>
      </c>
      <c r="O12" s="113" t="s">
        <v>16</v>
      </c>
      <c r="P12" s="114"/>
      <c r="Q12" s="19" t="s">
        <v>3</v>
      </c>
      <c r="R12" s="8">
        <v>15</v>
      </c>
      <c r="S12" s="20">
        <v>10</v>
      </c>
    </row>
    <row r="13" spans="1:19" x14ac:dyDescent="0.25">
      <c r="O13" s="115"/>
      <c r="P13" s="116"/>
      <c r="Q13" s="21" t="s">
        <v>11</v>
      </c>
      <c r="R13" s="22">
        <v>10</v>
      </c>
      <c r="S13" s="16">
        <f>G12</f>
        <v>14</v>
      </c>
    </row>
    <row r="14" spans="1:19" x14ac:dyDescent="0.25">
      <c r="N14" s="1" t="s">
        <v>17</v>
      </c>
      <c r="R14" s="23"/>
      <c r="S14" s="23"/>
    </row>
    <row r="15" spans="1:19" x14ac:dyDescent="0.25">
      <c r="O15" s="107" t="s">
        <v>18</v>
      </c>
      <c r="P15" s="108"/>
      <c r="Q15" s="108"/>
      <c r="R15" s="24">
        <v>0.7</v>
      </c>
      <c r="S15" s="25">
        <v>0.7</v>
      </c>
    </row>
    <row r="16" spans="1:19" ht="15" customHeight="1" x14ac:dyDescent="0.25">
      <c r="C16" s="26" t="s">
        <v>18</v>
      </c>
      <c r="D16" s="27">
        <f>0.7</f>
        <v>0.7</v>
      </c>
      <c r="O16" s="107" t="s">
        <v>19</v>
      </c>
      <c r="P16" s="108"/>
      <c r="Q16" s="108"/>
      <c r="R16" s="3">
        <f>R15*R10</f>
        <v>140</v>
      </c>
      <c r="S16" s="28">
        <f>S15*S10</f>
        <v>168</v>
      </c>
    </row>
    <row r="17" spans="3:19" ht="15" customHeight="1" x14ac:dyDescent="0.25">
      <c r="C17" s="88" t="s">
        <v>20</v>
      </c>
      <c r="D17" s="89"/>
      <c r="O17" s="92" t="s">
        <v>21</v>
      </c>
      <c r="P17" s="95"/>
      <c r="Q17" s="19" t="s">
        <v>3</v>
      </c>
      <c r="R17" s="29">
        <f>(R16*(R12/60))*7</f>
        <v>245</v>
      </c>
      <c r="S17" s="9">
        <f>(S16*(S12/60))*7</f>
        <v>196</v>
      </c>
    </row>
    <row r="18" spans="3:19" x14ac:dyDescent="0.25">
      <c r="C18" s="30" t="s">
        <v>22</v>
      </c>
      <c r="D18" s="31">
        <v>12</v>
      </c>
      <c r="O18" s="94"/>
      <c r="P18" s="97"/>
      <c r="Q18" s="21" t="s">
        <v>23</v>
      </c>
      <c r="R18" s="22">
        <f>G11</f>
        <v>10</v>
      </c>
      <c r="S18" s="16">
        <f>G12</f>
        <v>14</v>
      </c>
    </row>
    <row r="19" spans="3:19" x14ac:dyDescent="0.25">
      <c r="C19" s="32" t="s">
        <v>24</v>
      </c>
      <c r="D19" s="33">
        <v>18</v>
      </c>
      <c r="O19" s="117" t="s">
        <v>25</v>
      </c>
      <c r="P19" s="118"/>
      <c r="Q19" s="118"/>
      <c r="R19" s="34">
        <f>SUM(R17:R18)</f>
        <v>255</v>
      </c>
      <c r="S19" s="35">
        <f>SUM(S17:S18)</f>
        <v>210</v>
      </c>
    </row>
    <row r="20" spans="3:19" x14ac:dyDescent="0.25">
      <c r="C20" s="87" t="s">
        <v>61</v>
      </c>
      <c r="D20" t="s">
        <v>62</v>
      </c>
      <c r="O20" s="117" t="s">
        <v>26</v>
      </c>
      <c r="P20" s="118"/>
      <c r="Q20" s="118"/>
      <c r="R20" s="36">
        <f>R11*40</f>
        <v>240</v>
      </c>
      <c r="S20" s="37">
        <f>S11*40</f>
        <v>200</v>
      </c>
    </row>
    <row r="21" spans="3:19" x14ac:dyDescent="0.25">
      <c r="O21" s="119" t="s">
        <v>27</v>
      </c>
      <c r="P21" s="120"/>
      <c r="Q21" s="120"/>
      <c r="R21" s="38">
        <f>R19-R20</f>
        <v>15</v>
      </c>
      <c r="S21" s="39">
        <f>S19-S20</f>
        <v>10</v>
      </c>
    </row>
    <row r="22" spans="3:19" x14ac:dyDescent="0.25">
      <c r="N22" s="1" t="s">
        <v>28</v>
      </c>
      <c r="R22" s="23"/>
      <c r="S22" s="23"/>
    </row>
    <row r="23" spans="3:19" x14ac:dyDescent="0.25">
      <c r="O23" s="121" t="s">
        <v>29</v>
      </c>
      <c r="P23" s="122"/>
      <c r="Q23" s="40">
        <f>40</f>
        <v>40</v>
      </c>
      <c r="R23" s="98" t="s">
        <v>30</v>
      </c>
      <c r="S23" s="109">
        <f>Q23*Q24</f>
        <v>480</v>
      </c>
    </row>
    <row r="24" spans="3:19" x14ac:dyDescent="0.25">
      <c r="O24" s="111" t="s">
        <v>31</v>
      </c>
      <c r="P24" s="112"/>
      <c r="Q24" s="41">
        <f>12</f>
        <v>12</v>
      </c>
      <c r="R24" s="123"/>
      <c r="S24" s="110"/>
    </row>
    <row r="25" spans="3:19" x14ac:dyDescent="0.25">
      <c r="O25" s="117" t="s">
        <v>32</v>
      </c>
      <c r="P25" s="118"/>
      <c r="Q25" s="118"/>
      <c r="R25" s="118"/>
      <c r="S25" s="42">
        <f>R21+S21</f>
        <v>25</v>
      </c>
    </row>
    <row r="26" spans="3:19" x14ac:dyDescent="0.25">
      <c r="O26" s="117" t="s">
        <v>33</v>
      </c>
      <c r="P26" s="118"/>
      <c r="Q26" s="118"/>
      <c r="R26" s="43">
        <v>0.5</v>
      </c>
      <c r="S26" s="44">
        <f>(1+R26)*Q24</f>
        <v>18</v>
      </c>
    </row>
    <row r="27" spans="3:19" x14ac:dyDescent="0.25">
      <c r="O27" s="117" t="s">
        <v>34</v>
      </c>
      <c r="P27" s="118"/>
      <c r="Q27" s="118"/>
      <c r="R27" s="118"/>
      <c r="S27" s="44">
        <f>S23/S25</f>
        <v>19.2</v>
      </c>
    </row>
    <row r="28" spans="3:19" x14ac:dyDescent="0.25">
      <c r="N28" s="1" t="s">
        <v>35</v>
      </c>
      <c r="R28" s="23"/>
      <c r="S28" s="23"/>
    </row>
    <row r="29" spans="3:19" x14ac:dyDescent="0.25">
      <c r="M29" s="45"/>
      <c r="O29" s="46" t="str">
        <f>O15</f>
        <v>Tasa de ocupación</v>
      </c>
      <c r="P29" s="47"/>
      <c r="Q29" s="47"/>
      <c r="R29" s="24">
        <v>0.9</v>
      </c>
      <c r="S29" s="25">
        <v>0.9</v>
      </c>
    </row>
    <row r="30" spans="3:19" x14ac:dyDescent="0.25">
      <c r="M30" s="45"/>
      <c r="N30" s="45"/>
      <c r="O30" s="46" t="str">
        <f>O16</f>
        <v>Habitaciones ocupadas semana</v>
      </c>
      <c r="P30" s="48"/>
      <c r="Q30" s="48"/>
      <c r="R30" s="3">
        <f>R29*R10</f>
        <v>180</v>
      </c>
      <c r="S30" s="28">
        <f>S29*S10</f>
        <v>216</v>
      </c>
    </row>
    <row r="31" spans="3:19" x14ac:dyDescent="0.25">
      <c r="M31" s="45"/>
      <c r="N31" s="45"/>
      <c r="O31" s="92" t="s">
        <v>21</v>
      </c>
      <c r="P31" s="95"/>
      <c r="Q31" s="19" t="s">
        <v>3</v>
      </c>
      <c r="R31" s="29">
        <f>(R30*(R12/60))*7</f>
        <v>315</v>
      </c>
      <c r="S31" s="9">
        <f>(S30*(S12/60))*7</f>
        <v>252</v>
      </c>
    </row>
    <row r="32" spans="3:19" x14ac:dyDescent="0.25">
      <c r="N32" s="45"/>
      <c r="O32" s="94"/>
      <c r="P32" s="97"/>
      <c r="Q32" s="21" t="s">
        <v>23</v>
      </c>
      <c r="R32" s="22">
        <f>G11+2</f>
        <v>12</v>
      </c>
      <c r="S32" s="16">
        <f>G12+2</f>
        <v>16</v>
      </c>
    </row>
    <row r="33" spans="14:20" x14ac:dyDescent="0.25">
      <c r="O33" s="117" t="str">
        <f>O19</f>
        <v>Total horas requeridas</v>
      </c>
      <c r="P33" s="118"/>
      <c r="Q33" s="118"/>
      <c r="R33" s="49">
        <f>SUM(R31:R32)</f>
        <v>327</v>
      </c>
      <c r="S33" s="50">
        <f>SUM(S31:S32)</f>
        <v>268</v>
      </c>
    </row>
    <row r="34" spans="14:20" x14ac:dyDescent="0.25">
      <c r="O34" s="117" t="str">
        <f>O20</f>
        <v>Total horas contratadas</v>
      </c>
      <c r="P34" s="118"/>
      <c r="Q34" s="118"/>
      <c r="R34" s="49">
        <f>R20</f>
        <v>240</v>
      </c>
      <c r="S34" s="50">
        <f>S20</f>
        <v>200</v>
      </c>
    </row>
    <row r="35" spans="14:20" ht="15" customHeight="1" x14ac:dyDescent="0.25">
      <c r="O35" s="119" t="str">
        <f>O21</f>
        <v>Horas extras necesarias</v>
      </c>
      <c r="P35" s="120"/>
      <c r="Q35" s="120"/>
      <c r="R35" s="49">
        <f>R33-R34</f>
        <v>87</v>
      </c>
      <c r="S35" s="50">
        <f>S33-S34</f>
        <v>68</v>
      </c>
    </row>
    <row r="36" spans="14:20" x14ac:dyDescent="0.25">
      <c r="O36" s="117" t="s">
        <v>36</v>
      </c>
      <c r="P36" s="118"/>
      <c r="Q36" s="118"/>
      <c r="R36" s="126">
        <f>Q23</f>
        <v>40</v>
      </c>
      <c r="S36" s="127"/>
      <c r="T36" s="51"/>
    </row>
    <row r="37" spans="14:20" x14ac:dyDescent="0.25">
      <c r="O37" s="117" t="s">
        <v>37</v>
      </c>
      <c r="P37" s="118"/>
      <c r="Q37" s="118"/>
      <c r="R37" s="52">
        <f>INT(R35/R36)</f>
        <v>2</v>
      </c>
      <c r="S37" s="53">
        <f>INT(S35/R36)</f>
        <v>1</v>
      </c>
      <c r="T37" s="51"/>
    </row>
    <row r="38" spans="14:20" x14ac:dyDescent="0.25">
      <c r="O38" s="117" t="s">
        <v>38</v>
      </c>
      <c r="P38" s="118"/>
      <c r="Q38" s="118"/>
      <c r="R38" s="49">
        <f>R35-(R36*R37)</f>
        <v>7</v>
      </c>
      <c r="S38" s="50">
        <f>S35-(R36*S37)</f>
        <v>28</v>
      </c>
    </row>
    <row r="39" spans="14:20" x14ac:dyDescent="0.25">
      <c r="O39" s="54"/>
      <c r="P39" s="54"/>
      <c r="Q39" s="54"/>
      <c r="R39" s="55"/>
      <c r="S39" s="55"/>
    </row>
    <row r="40" spans="14:20" x14ac:dyDescent="0.25">
      <c r="R40" s="56" t="str">
        <f>R8</f>
        <v>Hotel I</v>
      </c>
      <c r="S40" s="56" t="str">
        <f>S8</f>
        <v>Hotel II</v>
      </c>
    </row>
    <row r="41" spans="14:20" x14ac:dyDescent="0.25">
      <c r="N41" s="1" t="s">
        <v>39</v>
      </c>
    </row>
    <row r="42" spans="14:20" ht="15" customHeight="1" x14ac:dyDescent="0.25">
      <c r="O42" s="107" t="s">
        <v>40</v>
      </c>
      <c r="P42" s="108"/>
      <c r="Q42" s="108"/>
      <c r="R42" s="24">
        <v>0.7</v>
      </c>
      <c r="S42" s="25">
        <f>R42</f>
        <v>0.7</v>
      </c>
    </row>
    <row r="43" spans="14:20" x14ac:dyDescent="0.25">
      <c r="O43" s="107" t="s">
        <v>19</v>
      </c>
      <c r="P43" s="108"/>
      <c r="Q43" s="108"/>
      <c r="R43" s="3">
        <f>R42*D11</f>
        <v>140</v>
      </c>
      <c r="S43" s="28">
        <f>S42*D12</f>
        <v>168</v>
      </c>
    </row>
    <row r="44" spans="14:20" ht="15" customHeight="1" x14ac:dyDescent="0.25">
      <c r="O44" s="92" t="s">
        <v>41</v>
      </c>
      <c r="P44" s="95"/>
      <c r="Q44" s="57" t="s">
        <v>3</v>
      </c>
      <c r="R44" s="58">
        <v>1</v>
      </c>
      <c r="S44" s="59">
        <v>1</v>
      </c>
    </row>
    <row r="45" spans="14:20" x14ac:dyDescent="0.25">
      <c r="O45" s="94"/>
      <c r="P45" s="97"/>
      <c r="Q45" s="60" t="s">
        <v>23</v>
      </c>
      <c r="R45" s="61">
        <v>1</v>
      </c>
      <c r="S45" s="62">
        <v>1</v>
      </c>
    </row>
    <row r="46" spans="14:20" x14ac:dyDescent="0.25">
      <c r="O46" s="63" t="s">
        <v>42</v>
      </c>
    </row>
    <row r="47" spans="14:20" x14ac:dyDescent="0.25">
      <c r="O47" s="92" t="s">
        <v>43</v>
      </c>
      <c r="P47" s="95"/>
      <c r="Q47" s="57" t="str">
        <f>Q31</f>
        <v>Habitaciones</v>
      </c>
      <c r="R47" s="64">
        <f>((R43*(R12-R44))/60)*7</f>
        <v>228.66666666666666</v>
      </c>
      <c r="S47" s="65">
        <f>(S16*(F12-1)/60)*7</f>
        <v>176.4</v>
      </c>
    </row>
    <row r="48" spans="14:20" x14ac:dyDescent="0.25">
      <c r="O48" s="93"/>
      <c r="P48" s="96"/>
      <c r="Q48" s="66" t="str">
        <f>Q32</f>
        <v>Zonas comunes</v>
      </c>
      <c r="R48" s="55">
        <f>R18-R45</f>
        <v>9</v>
      </c>
      <c r="S48" s="67">
        <f>G12-S45</f>
        <v>13</v>
      </c>
    </row>
    <row r="49" spans="15:19" ht="15" customHeight="1" x14ac:dyDescent="0.25">
      <c r="O49" s="94"/>
      <c r="P49" s="97"/>
      <c r="Q49" s="60" t="s">
        <v>44</v>
      </c>
      <c r="R49" s="68">
        <f>R19-R47-R48</f>
        <v>17.333333333333343</v>
      </c>
      <c r="S49" s="69">
        <f>S19-S47-S48</f>
        <v>20.599999999999994</v>
      </c>
    </row>
    <row r="50" spans="15:19" ht="15" customHeight="1" x14ac:dyDescent="0.25">
      <c r="O50" s="92" t="s">
        <v>45</v>
      </c>
      <c r="P50" s="95"/>
      <c r="Q50" s="57" t="s">
        <v>46</v>
      </c>
      <c r="R50" s="64">
        <f>IF(R49&lt;=0,0,IF(R49&gt;R21,R21,R21-R49))</f>
        <v>15</v>
      </c>
      <c r="S50" s="65">
        <f>IF(S49&lt;=0,0,IF(S49&gt;S21,S21,S21-S49))</f>
        <v>10</v>
      </c>
    </row>
    <row r="51" spans="15:19" x14ac:dyDescent="0.25">
      <c r="O51" s="93"/>
      <c r="P51" s="96"/>
      <c r="Q51" s="66" t="s">
        <v>47</v>
      </c>
      <c r="R51" s="70">
        <f>IF(R49&lt;=0,0,R49-R50)</f>
        <v>2.3333333333333428</v>
      </c>
      <c r="S51" s="71">
        <f>IF(S49&lt;=0,0,S49-S50)</f>
        <v>10.599999999999994</v>
      </c>
    </row>
    <row r="52" spans="15:19" x14ac:dyDescent="0.25">
      <c r="O52" s="93"/>
      <c r="P52" s="96"/>
      <c r="Q52" s="66" t="s">
        <v>48</v>
      </c>
      <c r="R52" s="72">
        <f>INT(R51/40)</f>
        <v>0</v>
      </c>
      <c r="S52" s="73">
        <f>INT(S51/40)</f>
        <v>0</v>
      </c>
    </row>
    <row r="53" spans="15:19" x14ac:dyDescent="0.25">
      <c r="O53" s="93"/>
      <c r="P53" s="96"/>
      <c r="Q53" s="128" t="s">
        <v>49</v>
      </c>
      <c r="R53" s="74">
        <f>(R50*S26)+(R52*40*Q24)</f>
        <v>270</v>
      </c>
      <c r="S53" s="75">
        <f>(S50*S26)+(S52*40*Q24)</f>
        <v>180</v>
      </c>
    </row>
    <row r="54" spans="15:19" x14ac:dyDescent="0.25">
      <c r="O54" s="94"/>
      <c r="P54" s="97"/>
      <c r="Q54" s="129"/>
      <c r="R54" s="124">
        <f>R53+S53</f>
        <v>450</v>
      </c>
      <c r="S54" s="125"/>
    </row>
    <row r="55" spans="15:19" x14ac:dyDescent="0.25">
      <c r="O55" s="63" t="s">
        <v>50</v>
      </c>
    </row>
    <row r="56" spans="15:19" x14ac:dyDescent="0.25">
      <c r="O56" s="88" t="s">
        <v>51</v>
      </c>
      <c r="P56" s="98"/>
      <c r="Q56" s="57" t="str">
        <f>Q47</f>
        <v>Habitaciones</v>
      </c>
      <c r="R56" s="76">
        <f>((10*D11)/5)/52</f>
        <v>7.6923076923076925</v>
      </c>
      <c r="S56" s="77">
        <f>((10*D12)/5)/52</f>
        <v>9.2307692307692299</v>
      </c>
    </row>
    <row r="57" spans="15:19" x14ac:dyDescent="0.25">
      <c r="O57" s="130"/>
      <c r="P57" s="123"/>
      <c r="Q57" s="60" t="str">
        <f>Q48</f>
        <v>Zonas comunes</v>
      </c>
      <c r="R57" s="78">
        <f>(2000/5)/52</f>
        <v>7.6923076923076925</v>
      </c>
      <c r="S57" s="79">
        <f>(2000/5)/52</f>
        <v>7.6923076923076925</v>
      </c>
    </row>
    <row r="58" spans="15:19" x14ac:dyDescent="0.25">
      <c r="O58" s="88" t="s">
        <v>52</v>
      </c>
      <c r="P58" s="98"/>
      <c r="Q58" s="57" t="str">
        <f>Q56</f>
        <v>Habitaciones</v>
      </c>
      <c r="R58" s="76">
        <f>(2000*0.7)/52</f>
        <v>26.923076923076923</v>
      </c>
      <c r="S58" s="77">
        <f>(2000*0.7)/52</f>
        <v>26.923076923076923</v>
      </c>
    </row>
    <row r="59" spans="15:19" x14ac:dyDescent="0.25">
      <c r="O59" s="130"/>
      <c r="P59" s="123"/>
      <c r="Q59" s="60" t="str">
        <f>Q57</f>
        <v>Zonas comunes</v>
      </c>
      <c r="R59" s="78">
        <f>(0.3*2000)/52</f>
        <v>11.538461538461538</v>
      </c>
      <c r="S59" s="79">
        <f>(2000*0.3)/52</f>
        <v>11.538461538461538</v>
      </c>
    </row>
    <row r="60" spans="15:19" x14ac:dyDescent="0.25">
      <c r="O60" s="131" t="s">
        <v>53</v>
      </c>
      <c r="P60" s="132"/>
      <c r="Q60" s="132"/>
      <c r="R60" s="80">
        <f>SUM(R56:R59)</f>
        <v>53.846153846153847</v>
      </c>
      <c r="S60" s="81">
        <f>SUM(S56:S59)</f>
        <v>55.384615384615387</v>
      </c>
    </row>
    <row r="61" spans="15:19" x14ac:dyDescent="0.25">
      <c r="O61" s="133"/>
      <c r="P61" s="134"/>
      <c r="Q61" s="134"/>
      <c r="R61" s="124">
        <f>(R60+S60)*-1</f>
        <v>-109.23076923076923</v>
      </c>
      <c r="S61" s="125"/>
    </row>
    <row r="62" spans="15:19" x14ac:dyDescent="0.25">
      <c r="O62" s="63" t="s">
        <v>54</v>
      </c>
    </row>
    <row r="63" spans="15:19" ht="15" customHeight="1" x14ac:dyDescent="0.25">
      <c r="O63" s="92" t="s">
        <v>55</v>
      </c>
      <c r="P63" s="95"/>
      <c r="Q63" s="57" t="str">
        <f>Q58</f>
        <v>Habitaciones</v>
      </c>
      <c r="R63" s="82">
        <f>(750/52)*0.9</f>
        <v>12.980769230769232</v>
      </c>
      <c r="S63" s="83">
        <f>(750/52)*0.9</f>
        <v>12.980769230769232</v>
      </c>
    </row>
    <row r="64" spans="15:19" x14ac:dyDescent="0.25">
      <c r="O64" s="93"/>
      <c r="P64" s="96"/>
      <c r="Q64" s="66" t="str">
        <f>Q59</f>
        <v>Zonas comunes</v>
      </c>
      <c r="R64" s="74">
        <f>(750/52)*0.1</f>
        <v>1.4423076923076925</v>
      </c>
      <c r="S64" s="75">
        <f>(750/52)*0.1</f>
        <v>1.4423076923076925</v>
      </c>
    </row>
    <row r="65" spans="15:19" x14ac:dyDescent="0.25">
      <c r="O65" s="93"/>
      <c r="P65" s="96"/>
      <c r="Q65" s="135" t="s">
        <v>56</v>
      </c>
      <c r="R65" s="74">
        <f>R63+R64</f>
        <v>14.423076923076923</v>
      </c>
      <c r="S65" s="75">
        <f>S63+S64</f>
        <v>14.423076923076923</v>
      </c>
    </row>
    <row r="66" spans="15:19" x14ac:dyDescent="0.25">
      <c r="O66" s="94"/>
      <c r="P66" s="97"/>
      <c r="Q66" s="134"/>
      <c r="R66" s="124">
        <f>R65+S65</f>
        <v>28.846153846153847</v>
      </c>
      <c r="S66" s="125"/>
    </row>
    <row r="67" spans="15:19" x14ac:dyDescent="0.25">
      <c r="O67" s="63" t="s">
        <v>57</v>
      </c>
    </row>
    <row r="68" spans="15:19" x14ac:dyDescent="0.25">
      <c r="O68" s="136" t="s">
        <v>58</v>
      </c>
      <c r="P68" s="137"/>
      <c r="Q68" s="137"/>
      <c r="R68" s="82">
        <f>R53-R60+R65</f>
        <v>230.57692307692309</v>
      </c>
      <c r="S68" s="83">
        <f>S53-S60+S65</f>
        <v>139.03846153846155</v>
      </c>
    </row>
    <row r="69" spans="15:19" x14ac:dyDescent="0.25">
      <c r="O69" s="138"/>
      <c r="P69" s="139"/>
      <c r="Q69" s="139"/>
      <c r="R69" s="140">
        <f>R68+S68</f>
        <v>369.61538461538464</v>
      </c>
      <c r="S69" s="141"/>
    </row>
    <row r="89" spans="15:20" x14ac:dyDescent="0.25">
      <c r="O89" s="142" t="s">
        <v>21</v>
      </c>
      <c r="P89" s="142"/>
      <c r="R89" s="84">
        <f>R17</f>
        <v>245</v>
      </c>
      <c r="S89" s="84">
        <f>S17</f>
        <v>196</v>
      </c>
    </row>
    <row r="90" spans="15:20" x14ac:dyDescent="0.25">
      <c r="O90" s="142"/>
      <c r="P90" s="142"/>
      <c r="R90" s="84">
        <f>R18</f>
        <v>10</v>
      </c>
      <c r="S90" s="84">
        <f>S18</f>
        <v>14</v>
      </c>
    </row>
    <row r="91" spans="15:20" x14ac:dyDescent="0.25">
      <c r="O91" s="143" t="str">
        <f>O19</f>
        <v>Total horas requeridas</v>
      </c>
      <c r="P91" s="143"/>
      <c r="Q91" s="143"/>
      <c r="R91" s="85">
        <f>SUM(R89:R90)</f>
        <v>255</v>
      </c>
      <c r="S91" s="85">
        <f>SUM(S89:S90)</f>
        <v>210</v>
      </c>
    </row>
    <row r="92" spans="15:20" x14ac:dyDescent="0.25">
      <c r="O92" s="143" t="str">
        <f>O20</f>
        <v>Total horas contratadas</v>
      </c>
      <c r="P92" s="143"/>
      <c r="Q92" s="143"/>
      <c r="R92" s="85">
        <f>R20</f>
        <v>240</v>
      </c>
      <c r="S92" s="85">
        <f>S20</f>
        <v>200</v>
      </c>
    </row>
    <row r="93" spans="15:20" x14ac:dyDescent="0.25">
      <c r="O93" s="143" t="str">
        <f>O21</f>
        <v>Horas extras necesarias</v>
      </c>
      <c r="P93" s="143"/>
      <c r="Q93" s="143"/>
      <c r="R93" s="85">
        <f>R21</f>
        <v>15</v>
      </c>
      <c r="S93" s="85">
        <f>S21</f>
        <v>10</v>
      </c>
    </row>
    <row r="96" spans="15:20" ht="15.75" x14ac:dyDescent="0.25">
      <c r="O96" s="102" t="s">
        <v>59</v>
      </c>
      <c r="P96" s="103"/>
      <c r="Q96" s="103"/>
      <c r="R96" s="103"/>
      <c r="S96" s="90" t="s">
        <v>8</v>
      </c>
      <c r="T96" s="90" t="s">
        <v>9</v>
      </c>
    </row>
    <row r="97" spans="15:20" x14ac:dyDescent="0.25">
      <c r="O97" s="1" t="s">
        <v>60</v>
      </c>
      <c r="S97" s="104"/>
      <c r="T97" s="104"/>
    </row>
  </sheetData>
  <mergeCells count="60">
    <mergeCell ref="O96:R96"/>
    <mergeCell ref="S96:S97"/>
    <mergeCell ref="T96:T97"/>
    <mergeCell ref="O68:Q69"/>
    <mergeCell ref="R69:S69"/>
    <mergeCell ref="O89:P90"/>
    <mergeCell ref="O91:Q91"/>
    <mergeCell ref="O92:Q92"/>
    <mergeCell ref="O93:Q93"/>
    <mergeCell ref="O56:P57"/>
    <mergeCell ref="O58:P59"/>
    <mergeCell ref="O60:Q61"/>
    <mergeCell ref="R61:S61"/>
    <mergeCell ref="O63:P66"/>
    <mergeCell ref="Q65:Q66"/>
    <mergeCell ref="R66:S66"/>
    <mergeCell ref="R54:S54"/>
    <mergeCell ref="O35:Q35"/>
    <mergeCell ref="O36:Q36"/>
    <mergeCell ref="R36:S36"/>
    <mergeCell ref="O37:Q37"/>
    <mergeCell ref="O38:Q38"/>
    <mergeCell ref="O42:Q42"/>
    <mergeCell ref="O43:Q43"/>
    <mergeCell ref="O44:P45"/>
    <mergeCell ref="O47:P49"/>
    <mergeCell ref="O50:P54"/>
    <mergeCell ref="Q53:Q54"/>
    <mergeCell ref="O34:Q34"/>
    <mergeCell ref="O20:Q20"/>
    <mergeCell ref="O21:Q21"/>
    <mergeCell ref="O23:P23"/>
    <mergeCell ref="R23:R24"/>
    <mergeCell ref="O25:R25"/>
    <mergeCell ref="O26:Q26"/>
    <mergeCell ref="O27:R27"/>
    <mergeCell ref="O31:P32"/>
    <mergeCell ref="O33:Q33"/>
    <mergeCell ref="S23:S24"/>
    <mergeCell ref="O24:P24"/>
    <mergeCell ref="O11:Q11"/>
    <mergeCell ref="O12:P13"/>
    <mergeCell ref="O15:Q15"/>
    <mergeCell ref="O16:Q16"/>
    <mergeCell ref="O17:P18"/>
    <mergeCell ref="O19:Q19"/>
    <mergeCell ref="N8:Q8"/>
    <mergeCell ref="R8:R9"/>
    <mergeCell ref="S8:S9"/>
    <mergeCell ref="F9:F10"/>
    <mergeCell ref="G9:G10"/>
    <mergeCell ref="O10:Q10"/>
    <mergeCell ref="C17:D17"/>
    <mergeCell ref="D7:G7"/>
    <mergeCell ref="H7:K7"/>
    <mergeCell ref="D8:D10"/>
    <mergeCell ref="E8:E10"/>
    <mergeCell ref="F8:G8"/>
    <mergeCell ref="I8:J9"/>
    <mergeCell ref="K8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Clean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smorini</cp:lastModifiedBy>
  <dcterms:created xsi:type="dcterms:W3CDTF">2014-12-01T13:09:58Z</dcterms:created>
  <dcterms:modified xsi:type="dcterms:W3CDTF">2015-01-12T17:38:33Z</dcterms:modified>
</cp:coreProperties>
</file>