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ioni\"/>
    </mc:Choice>
  </mc:AlternateContent>
  <bookViews>
    <workbookView xWindow="0" yWindow="450" windowWidth="19200" windowHeight="11730"/>
  </bookViews>
  <sheets>
    <sheet name="Cuchara S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H8" i="1"/>
  <c r="P101" i="1"/>
  <c r="P99" i="1"/>
  <c r="Q99" i="1" s="1"/>
  <c r="P98" i="1"/>
  <c r="Q98" i="1" s="1"/>
  <c r="P92" i="1"/>
  <c r="P89" i="1"/>
  <c r="Q89" i="1" s="1"/>
  <c r="P90" i="1" s="1"/>
  <c r="P95" i="1" s="1"/>
  <c r="O96" i="1" s="1"/>
  <c r="P96" i="1" s="1"/>
  <c r="Q96" i="1" s="1"/>
  <c r="V82" i="1"/>
  <c r="O81" i="1"/>
  <c r="O78" i="1"/>
  <c r="O76" i="1"/>
  <c r="P47" i="1"/>
  <c r="O47" i="1"/>
  <c r="O28" i="1"/>
  <c r="P24" i="1"/>
  <c r="O24" i="1"/>
  <c r="P20" i="1"/>
  <c r="O20" i="1"/>
  <c r="O22" i="1" s="1"/>
  <c r="P18" i="1"/>
  <c r="P19" i="1" s="1"/>
  <c r="D30" i="1"/>
  <c r="O74" i="1" s="1"/>
  <c r="P16" i="1"/>
  <c r="O16" i="1"/>
  <c r="F28" i="1"/>
  <c r="O10" i="1" s="1"/>
  <c r="G27" i="1"/>
  <c r="E14" i="1"/>
  <c r="O18" i="1" s="1"/>
  <c r="O19" i="1" s="1"/>
  <c r="G12" i="1"/>
  <c r="I11" i="1"/>
  <c r="P6" i="1"/>
  <c r="P7" i="1" s="1"/>
  <c r="T52" i="1" s="1"/>
  <c r="O6" i="1"/>
  <c r="O7" i="1" s="1"/>
  <c r="O5" i="1"/>
  <c r="E8" i="1"/>
  <c r="G2" i="1"/>
  <c r="Q51" i="1" s="1"/>
  <c r="O26" i="1" l="1"/>
  <c r="O31" i="1"/>
  <c r="E13" i="1"/>
  <c r="F13" i="1" s="1"/>
  <c r="Q47" i="1"/>
  <c r="P21" i="1"/>
  <c r="O21" i="1"/>
  <c r="Q92" i="1"/>
  <c r="Q100" i="1" s="1"/>
  <c r="P100" i="1" s="1"/>
  <c r="P102" i="1" s="1"/>
  <c r="P103" i="1" s="1"/>
  <c r="S52" i="1"/>
  <c r="O8" i="1"/>
  <c r="O11" i="1" s="1"/>
  <c r="O39" i="1"/>
  <c r="P5" i="1"/>
  <c r="O41" i="1"/>
  <c r="P10" i="1"/>
  <c r="O65" i="1"/>
  <c r="P65" i="1" s="1"/>
  <c r="Q52" i="1"/>
  <c r="Q53" i="1"/>
  <c r="O23" i="1"/>
  <c r="O25" i="1"/>
  <c r="P23" i="1"/>
  <c r="P22" i="1"/>
  <c r="P26" i="1" s="1"/>
  <c r="O51" i="1"/>
  <c r="O75" i="1"/>
  <c r="O77" i="1" s="1"/>
  <c r="P78" i="1" s="1"/>
  <c r="O84" i="1" s="1"/>
  <c r="P51" i="1"/>
  <c r="O55" i="1" l="1"/>
  <c r="P25" i="1"/>
  <c r="O27" i="1" s="1"/>
  <c r="Q101" i="1"/>
  <c r="Q54" i="1"/>
  <c r="P39" i="1"/>
  <c r="P8" i="1"/>
  <c r="O52" i="1"/>
  <c r="O29" i="1"/>
  <c r="P55" i="1"/>
  <c r="P52" i="1"/>
  <c r="P53" i="1"/>
  <c r="P63" i="1" s="1"/>
  <c r="O82" i="1"/>
  <c r="O83" i="1" s="1"/>
  <c r="O85" i="1" s="1"/>
  <c r="O86" i="1" s="1"/>
  <c r="Q55" i="1"/>
  <c r="P41" i="1"/>
  <c r="O9" i="1"/>
  <c r="O40" i="1"/>
  <c r="O53" i="1"/>
  <c r="O63" i="1" l="1"/>
  <c r="P9" i="1"/>
  <c r="P13" i="1"/>
  <c r="P40" i="1"/>
  <c r="P54" i="1"/>
  <c r="P56" i="1" s="1"/>
  <c r="P57" i="1" s="1"/>
  <c r="O32" i="1"/>
  <c r="O33" i="1" s="1"/>
  <c r="O30" i="1"/>
  <c r="O36" i="1" s="1"/>
  <c r="O44" i="1" s="1"/>
  <c r="O13" i="1"/>
  <c r="P11" i="1"/>
  <c r="O62" i="1"/>
  <c r="O64" i="1" s="1"/>
  <c r="O66" i="1" s="1"/>
  <c r="O67" i="1" s="1"/>
  <c r="O54" i="1"/>
  <c r="O56" i="1" s="1"/>
  <c r="O57" i="1" s="1"/>
  <c r="P62" i="1"/>
  <c r="P64" i="1" s="1"/>
  <c r="P66" i="1" s="1"/>
  <c r="P67" i="1" s="1"/>
  <c r="Q56" i="1"/>
  <c r="Q57" i="1" s="1"/>
  <c r="P44" i="1" l="1"/>
</calcChain>
</file>

<file path=xl/sharedStrings.xml><?xml version="1.0" encoding="utf-8"?>
<sst xmlns="http://schemas.openxmlformats.org/spreadsheetml/2006/main" count="106" uniqueCount="87">
  <si>
    <t>Enunciado:</t>
  </si>
  <si>
    <t>Capacidad de producción:</t>
  </si>
  <si>
    <t>Desayunos</t>
  </si>
  <si>
    <t>Merienda</t>
  </si>
  <si>
    <t>Personal de cocina y ayudantes:</t>
  </si>
  <si>
    <t>Nº de cuidadores:</t>
  </si>
  <si>
    <t>Otros costes fijos mensuales:</t>
  </si>
  <si>
    <t>Ingresos</t>
  </si>
  <si>
    <t>Menú normal</t>
  </si>
  <si>
    <t>Menú especial</t>
  </si>
  <si>
    <t>Desayuno</t>
  </si>
  <si>
    <t>Merienda + Desayuno</t>
  </si>
  <si>
    <t>Costes variables unitarios</t>
  </si>
  <si>
    <t>Costes variables unitarios:</t>
  </si>
  <si>
    <t>Margen contribución bruto</t>
  </si>
  <si>
    <t>Abono mensual de comedor:</t>
  </si>
  <si>
    <t>Nivel de producción medio estimado:</t>
  </si>
  <si>
    <t>Costes fijos comunes:</t>
  </si>
  <si>
    <t>Composición promedio:</t>
  </si>
  <si>
    <t>Abonados mínimos (Pto. Muerto)</t>
  </si>
  <si>
    <t>Costes fijos de merienda</t>
  </si>
  <si>
    <t>Ratio de sustitución:</t>
  </si>
  <si>
    <t>Subtotal</t>
  </si>
  <si>
    <t>Ratio cuidadores</t>
  </si>
  <si>
    <t>Actividad estimada</t>
  </si>
  <si>
    <t>Cuidad</t>
  </si>
  <si>
    <t>Produccion de pan:</t>
  </si>
  <si>
    <t>Demanda estimada</t>
  </si>
  <si>
    <t>Pago de unidad pan:</t>
  </si>
  <si>
    <t>Costes variables</t>
  </si>
  <si>
    <t>Materia prima masa:</t>
  </si>
  <si>
    <t>Datos del horno:</t>
  </si>
  <si>
    <t>Capacidad panes por horneado</t>
  </si>
  <si>
    <t>Amortización anual:</t>
  </si>
  <si>
    <t>Costes fijos propios</t>
  </si>
  <si>
    <t>Mantenimiento anual:</t>
  </si>
  <si>
    <t>Margen de contribución semibruto</t>
  </si>
  <si>
    <t>Tiermpo de operario</t>
  </si>
  <si>
    <t>Costes fijos comunes o de estructura:</t>
  </si>
  <si>
    <t xml:space="preserve">Resultado neto </t>
  </si>
  <si>
    <t>Objetivo margen semibruto:</t>
  </si>
  <si>
    <t xml:space="preserve"> = % MSb</t>
  </si>
  <si>
    <t>Meriendas</t>
  </si>
  <si>
    <t>Precio unitario (Pu)</t>
  </si>
  <si>
    <t>Marg. Contr. Unit. (Mcu)</t>
  </si>
  <si>
    <t>Costes fijos propios (CF)</t>
  </si>
  <si>
    <t>Abonados al mes para alcanzar el objetivo</t>
  </si>
  <si>
    <t>Precio &lt; =</t>
  </si>
  <si>
    <t>Demanda potencial</t>
  </si>
  <si>
    <t xml:space="preserve"> = Margen contribución</t>
  </si>
  <si>
    <t xml:space="preserve"> - Costes fijos propios</t>
  </si>
  <si>
    <t xml:space="preserve"> = Margen semibruto</t>
  </si>
  <si>
    <t xml:space="preserve">Punto muerto del servicio de desayuno </t>
  </si>
  <si>
    <t>(% sobre ingresos)</t>
  </si>
  <si>
    <t>Escenario 1</t>
  </si>
  <si>
    <t>Escenario 2</t>
  </si>
  <si>
    <t>Cuidadores necesarios</t>
  </si>
  <si>
    <t>Cuidadores disponibles</t>
  </si>
  <si>
    <t>Aumento de plantilla</t>
  </si>
  <si>
    <t>Incremento de coste</t>
  </si>
  <si>
    <t>Almuerzos</t>
  </si>
  <si>
    <t xml:space="preserve"> - Costes variables</t>
  </si>
  <si>
    <t xml:space="preserve"> - Costes fijos</t>
  </si>
  <si>
    <t xml:space="preserve"> = Resultado</t>
  </si>
  <si>
    <t>% s/ingresos</t>
  </si>
  <si>
    <t>Producción/consumo estimado de pan</t>
  </si>
  <si>
    <t>Costes variables:</t>
  </si>
  <si>
    <t>Masa de pan:</t>
  </si>
  <si>
    <t>Costes fijos</t>
  </si>
  <si>
    <t>Consumo de operario:</t>
  </si>
  <si>
    <t>Número de horneados  necesarios:</t>
  </si>
  <si>
    <t>Tiempo horneado :</t>
  </si>
  <si>
    <t>Coste uso de horno:</t>
  </si>
  <si>
    <t>Amortización:</t>
  </si>
  <si>
    <t>Mantenimiento:</t>
  </si>
  <si>
    <t>Coste total de producción:</t>
  </si>
  <si>
    <t>Coste de subcontratación:</t>
  </si>
  <si>
    <t>Canon anual</t>
  </si>
  <si>
    <t>10 meses /año</t>
  </si>
  <si>
    <t xml:space="preserve"> 2 Cuidadoras</t>
  </si>
  <si>
    <t>1 Auxiliar de cocina:</t>
  </si>
  <si>
    <t>A1 - A.2. Aceptar la solicitud de ampliación del servicio con suplemento de 30 €</t>
  </si>
  <si>
    <t>A.3. Determinación del margen semibruto del menú almuerzo</t>
  </si>
  <si>
    <t>A3. Número de abonados necesarios para garantizar margen de contribución</t>
  </si>
  <si>
    <t>A.4. Resultados de la encuesta. Demanda potencial y resultados, escenarios</t>
  </si>
  <si>
    <t>B. Mejora del ratio de cuidador</t>
  </si>
  <si>
    <t>C. Estragia elaboración de pan o subcontratación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</si>
</sst>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6" formatCode="#,##0\ &quot;€&quot;;[Red]\-#,##0\ &quot;€&quot;"/>
    <numFmt numFmtId="43" formatCode="_-* #,##0.00\ _€_-;\-* #,##0.00\ _€_-;_-* &quot;-&quot;??\ _€_-;_-@_-"/>
    <numFmt numFmtId="164" formatCode="#,##0\ &quot;dias/mes&quot;"/>
    <numFmt numFmtId="165" formatCode="#,##0\ &quot;menú/dia&quot;"/>
    <numFmt numFmtId="166" formatCode="#,##0\ &quot;abono/mes&quot;"/>
    <numFmt numFmtId="167" formatCode="#,##0\ &quot;€/mes&quot;"/>
    <numFmt numFmtId="168" formatCode="0\ &quot;cuidadores&quot;"/>
    <numFmt numFmtId="169" formatCode="#,##0\ &quot;€/abono&quot;"/>
    <numFmt numFmtId="170" formatCode="#,##0.00\ &quot;€/abono&quot;"/>
    <numFmt numFmtId="171" formatCode="#,##0.00\ &quot;€/ud&quot;"/>
    <numFmt numFmtId="172" formatCode="#,##0.0\ &quot;€/mes&quot;"/>
    <numFmt numFmtId="173" formatCode="0.0%"/>
    <numFmt numFmtId="174" formatCode="#,##0\ &quot;menú/mes&quot;"/>
    <numFmt numFmtId="175" formatCode="#,##0.0\ &quot;abon./mes&quot;"/>
    <numFmt numFmtId="176" formatCode="#,##0.00\ &quot;€/menú&quot;"/>
    <numFmt numFmtId="177" formatCode="#,##0.0\ &quot;abono/mes&quot;"/>
    <numFmt numFmtId="178" formatCode="#,##0.0\ &quot;€/hr&quot;"/>
    <numFmt numFmtId="179" formatCode="0\ &quot;€/semana&quot;"/>
    <numFmt numFmtId="180" formatCode="0\ &quot;alumnos/cuidador&quot;"/>
    <numFmt numFmtId="181" formatCode="#,##0\ &quot;panes&quot;"/>
    <numFmt numFmtId="182" formatCode="#,##0\ &quot;comensales&quot;"/>
    <numFmt numFmtId="183" formatCode="#,##0\ &quot;panes/hornea&quot;"/>
    <numFmt numFmtId="184" formatCode="#,##0\ &quot;€/año&quot;"/>
    <numFmt numFmtId="185" formatCode="#,##0\ &quot;minutos/horneado&quot;"/>
    <numFmt numFmtId="186" formatCode="#,##0\ &quot;€/hora&quot;"/>
    <numFmt numFmtId="187" formatCode="#,##0.0\ &quot;€/abono&quot;"/>
    <numFmt numFmtId="188" formatCode="#,##0.0\ &quot;€/dia&quot;"/>
    <numFmt numFmtId="189" formatCode="#,##0\ &quot;panes/dia&quot;"/>
    <numFmt numFmtId="190" formatCode="#,##0\ &quot;panes/mes&quot;"/>
    <numFmt numFmtId="191" formatCode="#,##0\ &quot;horn/mes&quot;"/>
    <numFmt numFmtId="192" formatCode="#,##0.0\ &quot;min/mes&quot;"/>
    <numFmt numFmtId="193" formatCode="0.0\ &quot;hr/mes&quot;"/>
    <numFmt numFmtId="196" formatCode="_-* #,##0\ _€_-;\-* #,##0\ _€_-;_-* &quot;-&quot;??\ _€_-;_-@_-"/>
    <numFmt numFmtId="214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164" fontId="3" fillId="0" borderId="0" xfId="0" applyNumberFormat="1" applyFont="1"/>
    <xf numFmtId="165" fontId="3" fillId="0" borderId="0" xfId="0" applyNumberFormat="1" applyFont="1"/>
    <xf numFmtId="0" fontId="4" fillId="0" borderId="0" xfId="0" applyFont="1"/>
    <xf numFmtId="0" fontId="3" fillId="0" borderId="0" xfId="0" applyFont="1"/>
    <xf numFmtId="167" fontId="3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169" fontId="0" fillId="0" borderId="4" xfId="0" applyNumberFormat="1" applyFont="1" applyBorder="1"/>
    <xf numFmtId="169" fontId="0" fillId="0" borderId="4" xfId="0" applyNumberFormat="1" applyBorder="1"/>
    <xf numFmtId="170" fontId="0" fillId="0" borderId="4" xfId="0" applyNumberFormat="1" applyFill="1" applyBorder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71" fontId="0" fillId="0" borderId="1" xfId="0" applyNumberFormat="1" applyBorder="1"/>
    <xf numFmtId="171" fontId="0" fillId="0" borderId="1" xfId="0" applyNumberFormat="1" applyFill="1" applyBorder="1"/>
    <xf numFmtId="0" fontId="3" fillId="0" borderId="6" xfId="0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center"/>
    </xf>
    <xf numFmtId="172" fontId="3" fillId="0" borderId="2" xfId="0" applyNumberFormat="1" applyFont="1" applyFill="1" applyBorder="1" applyAlignment="1">
      <alignment horizontal="center"/>
    </xf>
    <xf numFmtId="171" fontId="3" fillId="0" borderId="0" xfId="0" applyNumberFormat="1" applyFont="1" applyAlignment="1">
      <alignment horizontal="center" vertical="center"/>
    </xf>
    <xf numFmtId="172" fontId="3" fillId="0" borderId="1" xfId="0" applyNumberFormat="1" applyFont="1" applyBorder="1" applyAlignment="1">
      <alignment horizontal="center"/>
    </xf>
    <xf numFmtId="167" fontId="3" fillId="0" borderId="1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71" fontId="7" fillId="0" borderId="0" xfId="0" applyNumberFormat="1" applyFont="1" applyAlignment="1">
      <alignment horizontal="center" vertical="center"/>
    </xf>
    <xf numFmtId="173" fontId="0" fillId="0" borderId="2" xfId="2" applyNumberFormat="1" applyFont="1" applyBorder="1" applyAlignment="1">
      <alignment horizontal="center"/>
    </xf>
    <xf numFmtId="173" fontId="0" fillId="0" borderId="2" xfId="2" applyNumberFormat="1" applyFont="1" applyFill="1" applyBorder="1" applyAlignment="1">
      <alignment horizontal="center"/>
    </xf>
    <xf numFmtId="17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7" fontId="3" fillId="0" borderId="4" xfId="0" applyNumberFormat="1" applyFont="1" applyBorder="1" applyAlignment="1">
      <alignment horizontal="center"/>
    </xf>
    <xf numFmtId="167" fontId="3" fillId="0" borderId="4" xfId="0" applyNumberFormat="1" applyFont="1" applyFill="1" applyBorder="1" applyAlignment="1">
      <alignment horizontal="center"/>
    </xf>
    <xf numFmtId="170" fontId="3" fillId="0" borderId="0" xfId="0" applyNumberFormat="1" applyFont="1"/>
    <xf numFmtId="9" fontId="0" fillId="0" borderId="0" xfId="2" applyFont="1" applyAlignment="1">
      <alignment horizontal="center" vertical="center"/>
    </xf>
    <xf numFmtId="175" fontId="3" fillId="0" borderId="1" xfId="0" applyNumberFormat="1" applyFont="1" applyBorder="1" applyAlignment="1">
      <alignment horizontal="center" vertical="center"/>
    </xf>
    <xf numFmtId="17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5" fontId="3" fillId="0" borderId="2" xfId="0" applyNumberFormat="1" applyFont="1" applyBorder="1" applyAlignment="1">
      <alignment horizontal="center" vertical="center"/>
    </xf>
    <xf numFmtId="175" fontId="3" fillId="0" borderId="2" xfId="0" applyNumberFormat="1" applyFont="1" applyFill="1" applyBorder="1" applyAlignment="1">
      <alignment horizontal="center" vertical="center"/>
    </xf>
    <xf numFmtId="176" fontId="3" fillId="0" borderId="0" xfId="0" applyNumberFormat="1" applyFont="1"/>
    <xf numFmtId="0" fontId="3" fillId="0" borderId="4" xfId="0" applyFont="1" applyBorder="1" applyAlignment="1">
      <alignment horizontal="left" vertical="center"/>
    </xf>
    <xf numFmtId="177" fontId="7" fillId="0" borderId="4" xfId="0" applyNumberFormat="1" applyFont="1" applyBorder="1"/>
    <xf numFmtId="0" fontId="0" fillId="0" borderId="0" xfId="0" applyAlignment="1">
      <alignment horizontal="left" vertical="center"/>
    </xf>
    <xf numFmtId="178" fontId="3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left" vertical="center"/>
    </xf>
    <xf numFmtId="167" fontId="0" fillId="0" borderId="0" xfId="0" applyNumberFormat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4" fontId="3" fillId="0" borderId="2" xfId="0" applyNumberFormat="1" applyFont="1" applyBorder="1" applyAlignment="1">
      <alignment vertical="center"/>
    </xf>
    <xf numFmtId="174" fontId="3" fillId="0" borderId="10" xfId="0" applyNumberFormat="1" applyFont="1" applyBorder="1" applyAlignment="1">
      <alignment vertical="center"/>
    </xf>
    <xf numFmtId="167" fontId="0" fillId="0" borderId="0" xfId="0" applyNumberFormat="1" applyAlignment="1"/>
    <xf numFmtId="173" fontId="0" fillId="0" borderId="0" xfId="2" applyNumberFormat="1" applyFont="1" applyAlignment="1">
      <alignment horizontal="center"/>
    </xf>
    <xf numFmtId="0" fontId="3" fillId="0" borderId="5" xfId="0" applyFont="1" applyBorder="1" applyAlignment="1">
      <alignment horizontal="left" vertical="center"/>
    </xf>
    <xf numFmtId="169" fontId="3" fillId="0" borderId="1" xfId="0" applyNumberFormat="1" applyFont="1" applyBorder="1"/>
    <xf numFmtId="170" fontId="3" fillId="0" borderId="7" xfId="0" applyNumberFormat="1" applyFont="1" applyBorder="1"/>
    <xf numFmtId="167" fontId="0" fillId="0" borderId="0" xfId="0" applyNumberFormat="1" applyAlignment="1">
      <alignment vertical="center"/>
    </xf>
    <xf numFmtId="0" fontId="3" fillId="0" borderId="11" xfId="0" applyFont="1" applyBorder="1" applyAlignment="1">
      <alignment horizontal="left" vertical="center"/>
    </xf>
    <xf numFmtId="167" fontId="3" fillId="0" borderId="8" xfId="0" applyNumberFormat="1" applyFont="1" applyBorder="1"/>
    <xf numFmtId="167" fontId="3" fillId="0" borderId="9" xfId="0" applyNumberFormat="1" applyFont="1" applyBorder="1"/>
    <xf numFmtId="10" fontId="0" fillId="0" borderId="0" xfId="2" applyNumberFormat="1" applyFont="1" applyAlignment="1"/>
    <xf numFmtId="181" fontId="0" fillId="0" borderId="0" xfId="0" applyNumberFormat="1"/>
    <xf numFmtId="182" fontId="7" fillId="0" borderId="0" xfId="0" applyNumberFormat="1" applyFont="1"/>
    <xf numFmtId="0" fontId="3" fillId="0" borderId="6" xfId="0" applyFont="1" applyBorder="1" applyAlignment="1">
      <alignment horizontal="left" vertical="center"/>
    </xf>
    <xf numFmtId="176" fontId="3" fillId="0" borderId="2" xfId="0" applyNumberFormat="1" applyFont="1" applyBorder="1"/>
    <xf numFmtId="176" fontId="3" fillId="0" borderId="10" xfId="0" applyNumberFormat="1" applyFont="1" applyBorder="1"/>
    <xf numFmtId="167" fontId="3" fillId="0" borderId="2" xfId="0" applyNumberFormat="1" applyFont="1" applyBorder="1"/>
    <xf numFmtId="176" fontId="3" fillId="0" borderId="7" xfId="0" applyNumberFormat="1" applyFont="1" applyBorder="1"/>
    <xf numFmtId="176" fontId="3" fillId="0" borderId="1" xfId="0" applyNumberFormat="1" applyFont="1" applyBorder="1"/>
    <xf numFmtId="167" fontId="3" fillId="0" borderId="10" xfId="0" applyNumberFormat="1" applyFont="1" applyBorder="1"/>
    <xf numFmtId="0" fontId="8" fillId="0" borderId="0" xfId="0" applyFont="1"/>
    <xf numFmtId="167" fontId="0" fillId="0" borderId="1" xfId="0" applyNumberFormat="1" applyBorder="1"/>
    <xf numFmtId="167" fontId="0" fillId="0" borderId="7" xfId="0" applyNumberFormat="1" applyBorder="1"/>
    <xf numFmtId="183" fontId="3" fillId="0" borderId="0" xfId="0" applyNumberFormat="1" applyFont="1" applyAlignment="1">
      <alignment horizontal="center" vertical="center"/>
    </xf>
    <xf numFmtId="184" fontId="3" fillId="0" borderId="0" xfId="0" applyNumberFormat="1" applyFont="1"/>
    <xf numFmtId="0" fontId="3" fillId="0" borderId="3" xfId="0" applyFont="1" applyBorder="1" applyAlignment="1">
      <alignment horizontal="left" vertical="center" wrapText="1"/>
    </xf>
    <xf numFmtId="167" fontId="0" fillId="0" borderId="12" xfId="0" applyNumberFormat="1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167" fontId="0" fillId="0" borderId="14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185" fontId="3" fillId="0" borderId="0" xfId="0" applyNumberFormat="1" applyFont="1" applyAlignment="1">
      <alignment horizontal="center" vertical="center"/>
    </xf>
    <xf numFmtId="186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3" fontId="9" fillId="0" borderId="15" xfId="2" applyNumberFormat="1" applyFont="1" applyBorder="1" applyAlignment="1">
      <alignment horizontal="center"/>
    </xf>
    <xf numFmtId="173" fontId="9" fillId="0" borderId="10" xfId="2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167" fontId="0" fillId="0" borderId="12" xfId="0" applyNumberForma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10" fontId="0" fillId="0" borderId="15" xfId="2" applyNumberFormat="1" applyFont="1" applyBorder="1" applyAlignment="1">
      <alignment horizontal="center"/>
    </xf>
    <xf numFmtId="10" fontId="0" fillId="0" borderId="10" xfId="2" applyNumberFormat="1" applyFont="1" applyBorder="1" applyAlignment="1">
      <alignment horizontal="center"/>
    </xf>
    <xf numFmtId="0" fontId="3" fillId="0" borderId="0" xfId="0" applyFont="1" applyAlignment="1">
      <alignment vertical="center" wrapText="1"/>
    </xf>
    <xf numFmtId="173" fontId="5" fillId="0" borderId="9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87" fontId="3" fillId="0" borderId="4" xfId="0" applyNumberFormat="1" applyFont="1" applyBorder="1"/>
    <xf numFmtId="187" fontId="3" fillId="2" borderId="13" xfId="0" applyNumberFormat="1" applyFont="1" applyFill="1" applyBorder="1"/>
    <xf numFmtId="167" fontId="0" fillId="2" borderId="13" xfId="0" applyNumberFormat="1" applyFill="1" applyBorder="1"/>
    <xf numFmtId="0" fontId="0" fillId="0" borderId="14" xfId="0" applyBorder="1"/>
    <xf numFmtId="0" fontId="0" fillId="0" borderId="7" xfId="0" applyBorder="1"/>
    <xf numFmtId="0" fontId="3" fillId="0" borderId="11" xfId="0" applyFont="1" applyBorder="1" applyAlignment="1">
      <alignment horizontal="center" vertical="center" wrapText="1"/>
    </xf>
    <xf numFmtId="0" fontId="0" fillId="0" borderId="0" xfId="0" applyBorder="1"/>
    <xf numFmtId="0" fontId="0" fillId="0" borderId="9" xfId="0" applyBorder="1"/>
    <xf numFmtId="166" fontId="7" fillId="0" borderId="15" xfId="0" applyNumberFormat="1" applyFont="1" applyBorder="1"/>
    <xf numFmtId="166" fontId="7" fillId="0" borderId="10" xfId="0" applyNumberFormat="1" applyFont="1" applyBorder="1"/>
    <xf numFmtId="0" fontId="3" fillId="0" borderId="1" xfId="0" applyFont="1" applyBorder="1" applyAlignment="1">
      <alignment horizontal="left" vertical="center"/>
    </xf>
    <xf numFmtId="9" fontId="0" fillId="0" borderId="1" xfId="2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166" fontId="3" fillId="0" borderId="2" xfId="0" applyNumberFormat="1" applyFont="1" applyBorder="1" applyAlignment="1"/>
    <xf numFmtId="166" fontId="3" fillId="0" borderId="4" xfId="0" applyNumberFormat="1" applyFont="1" applyBorder="1" applyAlignment="1"/>
    <xf numFmtId="0" fontId="3" fillId="0" borderId="5" xfId="0" applyFont="1" applyBorder="1" applyAlignment="1">
      <alignment vertical="center" wrapText="1"/>
    </xf>
    <xf numFmtId="167" fontId="3" fillId="0" borderId="2" xfId="0" applyNumberFormat="1" applyFont="1" applyBorder="1" applyAlignment="1">
      <alignment horizontal="center"/>
    </xf>
    <xf numFmtId="172" fontId="0" fillId="0" borderId="0" xfId="0" applyNumberFormat="1"/>
    <xf numFmtId="0" fontId="3" fillId="0" borderId="1" xfId="0" applyFont="1" applyBorder="1" applyAlignment="1">
      <alignment vertical="center"/>
    </xf>
    <xf numFmtId="167" fontId="0" fillId="0" borderId="4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9" fontId="7" fillId="0" borderId="4" xfId="2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4" xfId="0" applyFont="1" applyBorder="1"/>
    <xf numFmtId="167" fontId="3" fillId="0" borderId="4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/>
    <xf numFmtId="0" fontId="3" fillId="0" borderId="4" xfId="0" applyFont="1" applyBorder="1" applyAlignment="1">
      <alignment vertical="center" wrapText="1"/>
    </xf>
    <xf numFmtId="167" fontId="0" fillId="0" borderId="0" xfId="0" applyNumberFormat="1" applyBorder="1"/>
    <xf numFmtId="0" fontId="3" fillId="0" borderId="4" xfId="0" applyFont="1" applyBorder="1" applyAlignment="1">
      <alignment vertical="center"/>
    </xf>
    <xf numFmtId="167" fontId="0" fillId="0" borderId="0" xfId="0" applyNumberFormat="1" applyBorder="1" applyAlignment="1">
      <alignment horizontal="center" vertical="center"/>
    </xf>
    <xf numFmtId="166" fontId="7" fillId="0" borderId="0" xfId="0" applyNumberFormat="1" applyFont="1" applyBorder="1"/>
    <xf numFmtId="0" fontId="3" fillId="0" borderId="1" xfId="0" applyFont="1" applyBorder="1" applyAlignment="1">
      <alignment horizontal="left" vertical="center"/>
    </xf>
    <xf numFmtId="167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0" fillId="0" borderId="2" xfId="2" applyNumberFormat="1" applyFont="1" applyBorder="1" applyAlignment="1">
      <alignment horizontal="center" vertical="center"/>
    </xf>
    <xf numFmtId="180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168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8" fontId="3" fillId="0" borderId="0" xfId="0" applyNumberFormat="1" applyFont="1"/>
    <xf numFmtId="188" fontId="3" fillId="0" borderId="0" xfId="0" applyNumberFormat="1" applyFont="1" applyAlignment="1">
      <alignment horizontal="center" vertical="center"/>
    </xf>
    <xf numFmtId="174" fontId="3" fillId="0" borderId="0" xfId="0" applyNumberFormat="1" applyFont="1" applyBorder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9" fontId="3" fillId="0" borderId="0" xfId="0" applyNumberFormat="1" applyFont="1" applyBorder="1"/>
    <xf numFmtId="167" fontId="3" fillId="0" borderId="0" xfId="0" applyNumberFormat="1" applyFont="1" applyBorder="1"/>
    <xf numFmtId="176" fontId="3" fillId="0" borderId="0" xfId="0" applyNumberFormat="1" applyFont="1" applyBorder="1"/>
    <xf numFmtId="167" fontId="0" fillId="0" borderId="4" xfId="0" applyNumberFormat="1" applyBorder="1" applyAlignment="1">
      <alignment horizontal="center"/>
    </xf>
    <xf numFmtId="187" fontId="3" fillId="0" borderId="0" xfId="0" applyNumberFormat="1" applyFont="1" applyBorder="1"/>
    <xf numFmtId="0" fontId="3" fillId="0" borderId="4" xfId="0" quotePrefix="1" applyFont="1" applyBorder="1"/>
    <xf numFmtId="166" fontId="3" fillId="0" borderId="0" xfId="0" applyNumberFormat="1" applyFont="1" applyBorder="1"/>
    <xf numFmtId="0" fontId="3" fillId="0" borderId="0" xfId="0" applyFont="1" applyBorder="1" applyAlignment="1">
      <alignment horizontal="left" vertical="center" wrapText="1"/>
    </xf>
    <xf numFmtId="167" fontId="0" fillId="0" borderId="1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9" fontId="0" fillId="0" borderId="10" xfId="2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/>
    </xf>
    <xf numFmtId="0" fontId="0" fillId="0" borderId="0" xfId="0" applyAlignment="1"/>
    <xf numFmtId="0" fontId="5" fillId="0" borderId="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65" fontId="3" fillId="0" borderId="14" xfId="0" applyNumberFormat="1" applyFont="1" applyBorder="1"/>
    <xf numFmtId="189" fontId="3" fillId="0" borderId="7" xfId="0" applyNumberFormat="1" applyFont="1" applyBorder="1"/>
    <xf numFmtId="0" fontId="5" fillId="0" borderId="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90" fontId="3" fillId="0" borderId="15" xfId="0" applyNumberFormat="1" applyFont="1" applyBorder="1" applyAlignment="1">
      <alignment horizontal="center"/>
    </xf>
    <xf numFmtId="190" fontId="3" fillId="0" borderId="10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171" fontId="3" fillId="0" borderId="15" xfId="0" applyNumberFormat="1" applyFont="1" applyBorder="1" applyAlignment="1">
      <alignment vertical="center"/>
    </xf>
    <xf numFmtId="167" fontId="0" fillId="0" borderId="10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2"/>
    </xf>
    <xf numFmtId="0" fontId="3" fillId="0" borderId="0" xfId="0" applyFont="1" applyBorder="1" applyAlignment="1">
      <alignment horizontal="left" vertical="center" indent="2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91" fontId="3" fillId="0" borderId="0" xfId="0" applyNumberFormat="1" applyFont="1" applyBorder="1" applyAlignment="1">
      <alignment horizontal="center" vertical="center"/>
    </xf>
    <xf numFmtId="191" fontId="3" fillId="0" borderId="9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92" fontId="3" fillId="0" borderId="0" xfId="0" applyNumberFormat="1" applyFont="1" applyBorder="1" applyAlignment="1">
      <alignment vertical="center"/>
    </xf>
    <xf numFmtId="193" fontId="3" fillId="0" borderId="0" xfId="0" applyNumberFormat="1" applyFont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84" fontId="3" fillId="0" borderId="0" xfId="0" applyNumberFormat="1" applyFont="1" applyBorder="1"/>
    <xf numFmtId="184" fontId="3" fillId="0" borderId="15" xfId="0" applyNumberFormat="1" applyFont="1" applyBorder="1"/>
    <xf numFmtId="167" fontId="2" fillId="0" borderId="1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171" fontId="3" fillId="0" borderId="1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171" fontId="3" fillId="0" borderId="15" xfId="0" applyNumberFormat="1" applyFont="1" applyBorder="1"/>
    <xf numFmtId="0" fontId="5" fillId="0" borderId="10" xfId="0" applyFont="1" applyBorder="1" applyAlignment="1">
      <alignment horizontal="center"/>
    </xf>
    <xf numFmtId="6" fontId="0" fillId="0" borderId="0" xfId="0" applyNumberFormat="1"/>
    <xf numFmtId="166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6" fontId="3" fillId="0" borderId="0" xfId="0" applyNumberFormat="1" applyFont="1" applyAlignment="1"/>
    <xf numFmtId="168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96" fontId="3" fillId="0" borderId="0" xfId="1" applyNumberFormat="1" applyFont="1" applyAlignment="1">
      <alignment horizontal="left" vertical="center"/>
    </xf>
    <xf numFmtId="165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3" fillId="0" borderId="4" xfId="0" applyNumberFormat="1" applyFont="1" applyBorder="1"/>
    <xf numFmtId="214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171450</xdr:colOff>
      <xdr:row>41</xdr:row>
      <xdr:rowOff>38101</xdr:rowOff>
    </xdr:from>
    <xdr:ext cx="1623359" cy="35144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/>
            <xdr:cNvSpPr txBox="1"/>
          </xdr:nvSpPr>
          <xdr:spPr>
            <a:xfrm>
              <a:off x="9839325" y="7791451"/>
              <a:ext cx="1623359" cy="3514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es-ES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𝐶𝐹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𝑀𝐶𝑢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−%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𝑀𝑆𝑏𝑥𝑃𝑢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 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2" name="CuadroTexto 1"/>
            <xdr:cNvSpPr txBox="1"/>
          </xdr:nvSpPr>
          <xdr:spPr>
            <a:xfrm>
              <a:off x="9839325" y="7791451"/>
              <a:ext cx="1623359" cy="3514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𝑄</a:t>
              </a:r>
              <a:r>
                <a:rPr lang="es-ES" sz="1100" i="0">
                  <a:latin typeface="Cambria Math" panose="02040503050406030204" pitchFamily="18" charset="0"/>
                </a:rPr>
                <a:t>=</a:t>
              </a:r>
              <a:r>
                <a:rPr lang="es-ES" sz="1100" b="0" i="0">
                  <a:latin typeface="Cambria Math" panose="02040503050406030204" pitchFamily="18" charset="0"/>
                </a:rPr>
                <a:t>𝐶𝐹/((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𝑀𝐶𝑢−%𝑀𝑆𝑏𝑥𝑃𝑢) )</a:t>
              </a:r>
              <a:endParaRPr lang="es-E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"/>
  <sheetViews>
    <sheetView tabSelected="1" topLeftCell="F74" zoomScaleNormal="100" workbookViewId="0">
      <selection activeCell="N89" sqref="N89:Q101"/>
    </sheetView>
  </sheetViews>
  <sheetFormatPr baseColWidth="10" defaultRowHeight="15" x14ac:dyDescent="0.25"/>
  <cols>
    <col min="1" max="1" width="3" customWidth="1"/>
    <col min="2" max="2" width="3.28515625" customWidth="1"/>
    <col min="3" max="3" width="19.5703125" customWidth="1"/>
    <col min="4" max="4" width="8" bestFit="1" customWidth="1"/>
    <col min="5" max="5" width="12.85546875" bestFit="1" customWidth="1"/>
    <col min="6" max="6" width="13.85546875" bestFit="1" customWidth="1"/>
    <col min="7" max="7" width="19.140625" customWidth="1"/>
    <col min="8" max="8" width="8.7109375" customWidth="1"/>
    <col min="9" max="12" width="10.7109375" customWidth="1"/>
    <col min="13" max="13" width="2.85546875" customWidth="1"/>
    <col min="14" max="14" width="22.7109375" customWidth="1"/>
    <col min="15" max="15" width="14.5703125" customWidth="1"/>
    <col min="16" max="16" width="19" customWidth="1"/>
    <col min="17" max="17" width="15.140625" customWidth="1"/>
    <col min="18" max="18" width="2" customWidth="1"/>
    <col min="19" max="19" width="14.28515625" customWidth="1"/>
    <col min="21" max="21" width="15.42578125" customWidth="1"/>
  </cols>
  <sheetData>
    <row r="1" spans="1:19" x14ac:dyDescent="0.25">
      <c r="A1" t="s">
        <v>0</v>
      </c>
    </row>
    <row r="2" spans="1:19" x14ac:dyDescent="0.25">
      <c r="A2" s="49" t="s">
        <v>1</v>
      </c>
      <c r="B2" s="49"/>
      <c r="C2" s="49"/>
      <c r="D2" s="49"/>
      <c r="E2" s="1">
        <v>22</v>
      </c>
      <c r="G2" s="211">
        <f>E3</f>
        <v>400</v>
      </c>
      <c r="H2" s="211"/>
      <c r="M2" s="3" t="s">
        <v>81</v>
      </c>
    </row>
    <row r="3" spans="1:19" ht="15" customHeight="1" x14ac:dyDescent="0.25">
      <c r="A3" s="213"/>
      <c r="B3" s="213"/>
      <c r="C3" s="213"/>
      <c r="D3" s="213"/>
      <c r="E3" s="2">
        <v>400</v>
      </c>
      <c r="F3" s="2"/>
      <c r="G3" s="211"/>
      <c r="H3" s="211"/>
      <c r="O3" s="6" t="s">
        <v>2</v>
      </c>
      <c r="P3" s="6" t="s">
        <v>3</v>
      </c>
      <c r="Q3" s="7"/>
    </row>
    <row r="4" spans="1:19" x14ac:dyDescent="0.25">
      <c r="A4" s="213"/>
      <c r="B4" s="213"/>
      <c r="C4" s="213"/>
      <c r="D4" s="213"/>
      <c r="E4" s="1" t="s">
        <v>78</v>
      </c>
      <c r="F4" s="2"/>
      <c r="G4" s="211"/>
      <c r="H4" s="211"/>
      <c r="O4" s="9"/>
      <c r="P4" s="9"/>
      <c r="Q4" s="10"/>
    </row>
    <row r="5" spans="1:19" ht="15" customHeight="1" x14ac:dyDescent="0.25">
      <c r="A5" s="210" t="s">
        <v>77</v>
      </c>
      <c r="B5" s="210"/>
      <c r="C5" s="210"/>
      <c r="D5" s="210"/>
      <c r="E5" s="208">
        <v>30000</v>
      </c>
      <c r="F5" s="2"/>
      <c r="G5" s="209"/>
      <c r="H5" s="209"/>
      <c r="N5" s="11" t="s">
        <v>7</v>
      </c>
      <c r="O5" s="12">
        <f>I12</f>
        <v>30</v>
      </c>
      <c r="P5" s="13">
        <f>O5</f>
        <v>30</v>
      </c>
      <c r="Q5" s="14"/>
    </row>
    <row r="6" spans="1:19" x14ac:dyDescent="0.25">
      <c r="A6" s="210" t="s">
        <v>6</v>
      </c>
      <c r="B6" s="210"/>
      <c r="C6" s="210"/>
      <c r="D6" s="210"/>
      <c r="E6" s="5">
        <v>20000</v>
      </c>
      <c r="L6" s="18"/>
      <c r="N6" s="19" t="s">
        <v>12</v>
      </c>
      <c r="O6" s="20">
        <f>G11</f>
        <v>0.6</v>
      </c>
      <c r="P6" s="20">
        <f>H11</f>
        <v>0.8</v>
      </c>
      <c r="Q6" s="21"/>
      <c r="S6" s="16"/>
    </row>
    <row r="7" spans="1:19" x14ac:dyDescent="0.25">
      <c r="C7" s="4" t="s">
        <v>4</v>
      </c>
      <c r="E7" s="5">
        <v>14000</v>
      </c>
      <c r="J7" s="18"/>
      <c r="K7" s="18"/>
      <c r="L7" s="18"/>
      <c r="N7" s="22"/>
      <c r="O7" s="23">
        <f>O6*E24</f>
        <v>13.2</v>
      </c>
      <c r="P7" s="23">
        <f>P6*E24</f>
        <v>17.600000000000001</v>
      </c>
      <c r="Q7" s="24"/>
      <c r="S7" s="16"/>
    </row>
    <row r="8" spans="1:19" x14ac:dyDescent="0.25">
      <c r="C8" s="4" t="s">
        <v>6</v>
      </c>
      <c r="E8" s="5">
        <f>E6-E7</f>
        <v>6000</v>
      </c>
      <c r="F8" s="4"/>
      <c r="H8">
        <f>30000/10</f>
        <v>3000</v>
      </c>
      <c r="J8" s="18"/>
      <c r="K8" s="18"/>
      <c r="L8" s="25"/>
      <c r="N8" s="19" t="s">
        <v>14</v>
      </c>
      <c r="O8" s="26">
        <f>O5-O7</f>
        <v>16.8</v>
      </c>
      <c r="P8" s="26">
        <f>P5-P7</f>
        <v>12.399999999999999</v>
      </c>
      <c r="Q8" s="27"/>
      <c r="S8" s="28"/>
    </row>
    <row r="9" spans="1:19" x14ac:dyDescent="0.25">
      <c r="E9" s="15" t="s">
        <v>8</v>
      </c>
      <c r="F9" s="15" t="s">
        <v>9</v>
      </c>
      <c r="G9" s="16" t="s">
        <v>10</v>
      </c>
      <c r="H9" s="16" t="s">
        <v>3</v>
      </c>
      <c r="I9" s="17" t="s">
        <v>11</v>
      </c>
      <c r="J9" s="25"/>
      <c r="K9" s="25"/>
      <c r="L9" s="25"/>
      <c r="N9" s="22"/>
      <c r="O9" s="31">
        <f>O8/O5</f>
        <v>0.56000000000000005</v>
      </c>
      <c r="P9" s="31">
        <f>P8/P5</f>
        <v>0.41333333333333327</v>
      </c>
      <c r="Q9" s="32"/>
      <c r="S9" s="33"/>
    </row>
    <row r="10" spans="1:19" ht="15" customHeight="1" x14ac:dyDescent="0.25">
      <c r="E10" s="15"/>
      <c r="F10" s="15"/>
      <c r="G10" s="16"/>
      <c r="H10" s="16"/>
      <c r="I10" s="17"/>
      <c r="J10" s="25"/>
      <c r="K10" s="25"/>
      <c r="N10" s="11" t="s">
        <v>17</v>
      </c>
      <c r="O10" s="37">
        <f>F28/2</f>
        <v>512</v>
      </c>
      <c r="P10" s="37">
        <f>O10</f>
        <v>512</v>
      </c>
      <c r="Q10" s="38"/>
      <c r="S10" s="39"/>
    </row>
    <row r="11" spans="1:19" ht="15" customHeight="1" x14ac:dyDescent="0.25">
      <c r="C11" s="34" t="s">
        <v>13</v>
      </c>
      <c r="D11" s="34"/>
      <c r="E11" s="25">
        <v>1.25</v>
      </c>
      <c r="F11" s="25">
        <v>1.8</v>
      </c>
      <c r="G11" s="25">
        <v>0.6</v>
      </c>
      <c r="H11" s="25">
        <v>0.8</v>
      </c>
      <c r="I11" s="25">
        <f>0.6+0.8</f>
        <v>1.4</v>
      </c>
      <c r="N11" s="19" t="s">
        <v>19</v>
      </c>
      <c r="O11" s="41">
        <f>O10/O8</f>
        <v>30.476190476190474</v>
      </c>
      <c r="P11" s="41">
        <f>P10/P8</f>
        <v>41.290322580645167</v>
      </c>
      <c r="Q11" s="42"/>
      <c r="S11" s="5"/>
    </row>
    <row r="12" spans="1:19" x14ac:dyDescent="0.25">
      <c r="C12" s="217" t="s">
        <v>15</v>
      </c>
      <c r="D12" s="217"/>
      <c r="E12" s="29">
        <v>140</v>
      </c>
      <c r="F12" s="29"/>
      <c r="G12" s="30">
        <f>30</f>
        <v>30</v>
      </c>
      <c r="H12" s="30">
        <v>30</v>
      </c>
      <c r="I12" s="25">
        <v>30</v>
      </c>
      <c r="N12" s="22"/>
      <c r="O12" s="44"/>
      <c r="P12" s="44"/>
      <c r="Q12" s="45"/>
      <c r="S12" s="46"/>
    </row>
    <row r="13" spans="1:19" x14ac:dyDescent="0.25">
      <c r="C13" s="217" t="s">
        <v>18</v>
      </c>
      <c r="D13" s="217"/>
      <c r="E13" s="215">
        <f>E3*E14</f>
        <v>340</v>
      </c>
      <c r="F13" s="215">
        <f>E3-E13</f>
        <v>60</v>
      </c>
      <c r="J13" s="212"/>
      <c r="N13" s="47" t="s">
        <v>21</v>
      </c>
      <c r="O13" s="48">
        <f>O8/P8</f>
        <v>1.3548387096774195</v>
      </c>
      <c r="P13" s="48">
        <f>P8/O8</f>
        <v>0.73809523809523803</v>
      </c>
      <c r="S13" s="46"/>
    </row>
    <row r="14" spans="1:19" x14ac:dyDescent="0.25">
      <c r="C14" s="217"/>
      <c r="D14" s="217"/>
      <c r="E14" s="40">
        <f>1-F14</f>
        <v>0.85</v>
      </c>
      <c r="F14" s="40">
        <v>0.15</v>
      </c>
      <c r="S14" s="5"/>
    </row>
    <row r="15" spans="1:19" x14ac:dyDescent="0.25">
      <c r="C15" s="216"/>
      <c r="D15" s="216"/>
      <c r="E15" s="16" t="s">
        <v>10</v>
      </c>
      <c r="F15" s="16" t="s">
        <v>3</v>
      </c>
      <c r="M15" s="3" t="s">
        <v>82</v>
      </c>
      <c r="S15" s="52"/>
    </row>
    <row r="16" spans="1:19" x14ac:dyDescent="0.25">
      <c r="C16" s="216"/>
      <c r="D16" s="216"/>
      <c r="E16" s="16"/>
      <c r="F16" s="16"/>
      <c r="O16" s="6" t="str">
        <f>E9</f>
        <v>Menú normal</v>
      </c>
      <c r="P16" s="6" t="str">
        <f>F9</f>
        <v>Menú especial</v>
      </c>
      <c r="Q16" s="53"/>
      <c r="S16" s="46"/>
    </row>
    <row r="17" spans="2:19" x14ac:dyDescent="0.25">
      <c r="C17" s="34" t="s">
        <v>13</v>
      </c>
      <c r="D17" s="34"/>
      <c r="E17" s="25">
        <v>0.6</v>
      </c>
      <c r="F17" s="25">
        <v>0.8</v>
      </c>
      <c r="O17" s="54"/>
      <c r="P17" s="54"/>
      <c r="Q17" s="55"/>
      <c r="S17" s="52"/>
    </row>
    <row r="18" spans="2:19" x14ac:dyDescent="0.25">
      <c r="C18" s="217" t="s">
        <v>15</v>
      </c>
      <c r="D18" s="217"/>
      <c r="E18" s="30">
        <f>30</f>
        <v>30</v>
      </c>
      <c r="F18" s="30">
        <v>30</v>
      </c>
      <c r="N18" s="57" t="s">
        <v>24</v>
      </c>
      <c r="O18" s="58">
        <f>E14</f>
        <v>0.85</v>
      </c>
      <c r="P18" s="58">
        <f>F14</f>
        <v>0.15</v>
      </c>
      <c r="Q18" s="59"/>
      <c r="S18" s="52"/>
    </row>
    <row r="19" spans="2:19" x14ac:dyDescent="0.25">
      <c r="B19" s="43"/>
      <c r="C19" s="34" t="s">
        <v>20</v>
      </c>
      <c r="D19" s="34"/>
      <c r="N19" s="60"/>
      <c r="O19" s="61">
        <f>(F24*E24)*O18</f>
        <v>7480</v>
      </c>
      <c r="P19" s="61">
        <f>(E24*F24)*P18</f>
        <v>1320</v>
      </c>
      <c r="Q19" s="62"/>
      <c r="R19" s="63"/>
      <c r="S19" s="64"/>
    </row>
    <row r="20" spans="2:19" x14ac:dyDescent="0.25">
      <c r="B20">
        <v>1</v>
      </c>
      <c r="C20" s="8" t="s">
        <v>80</v>
      </c>
      <c r="D20" s="8"/>
      <c r="E20" s="5">
        <v>80</v>
      </c>
      <c r="F20" s="50">
        <v>8</v>
      </c>
      <c r="N20" s="65" t="s">
        <v>7</v>
      </c>
      <c r="O20" s="66">
        <f>E12</f>
        <v>140</v>
      </c>
      <c r="P20" s="66">
        <f>E12</f>
        <v>140</v>
      </c>
      <c r="Q20" s="67"/>
      <c r="R20" s="68"/>
    </row>
    <row r="21" spans="2:19" x14ac:dyDescent="0.25">
      <c r="B21">
        <v>2</v>
      </c>
      <c r="C21" s="8" t="s">
        <v>79</v>
      </c>
      <c r="D21" s="8"/>
      <c r="E21" s="5">
        <v>32</v>
      </c>
      <c r="F21" s="50">
        <v>6</v>
      </c>
      <c r="N21" s="69"/>
      <c r="O21" s="70">
        <f>(O20*F24)*E14</f>
        <v>47600</v>
      </c>
      <c r="P21" s="70">
        <f>(P20*F24)*P18</f>
        <v>8400</v>
      </c>
      <c r="Q21" s="71"/>
      <c r="R21" s="72"/>
    </row>
    <row r="22" spans="2:19" x14ac:dyDescent="0.25">
      <c r="C22" s="216"/>
      <c r="D22" s="216"/>
      <c r="E22" s="40"/>
      <c r="F22" s="40"/>
      <c r="N22" s="75"/>
      <c r="O22" s="76">
        <f>O20/E24</f>
        <v>6.3636363636363633</v>
      </c>
      <c r="P22" s="76">
        <f>P20/E24</f>
        <v>6.3636363636363633</v>
      </c>
      <c r="Q22" s="77"/>
    </row>
    <row r="23" spans="2:19" x14ac:dyDescent="0.25">
      <c r="C23" s="216"/>
      <c r="D23" s="216"/>
      <c r="E23" s="40"/>
      <c r="F23" s="40"/>
      <c r="N23" s="119" t="s">
        <v>29</v>
      </c>
      <c r="O23" s="78">
        <f>O24*O19</f>
        <v>9350</v>
      </c>
      <c r="P23" s="78">
        <f>P24*P19</f>
        <v>2376</v>
      </c>
      <c r="Q23" s="79"/>
    </row>
    <row r="24" spans="2:19" x14ac:dyDescent="0.25">
      <c r="B24" s="34" t="s">
        <v>16</v>
      </c>
      <c r="C24" s="34"/>
      <c r="D24" s="34"/>
      <c r="E24" s="35">
        <v>22</v>
      </c>
      <c r="F24" s="36">
        <v>400</v>
      </c>
      <c r="G24" s="105" t="s">
        <v>5</v>
      </c>
      <c r="H24" s="214">
        <v>5</v>
      </c>
      <c r="N24" s="122"/>
      <c r="O24" s="80">
        <f>E11</f>
        <v>1.25</v>
      </c>
      <c r="P24" s="80">
        <f>F11</f>
        <v>1.8</v>
      </c>
      <c r="Q24" s="81"/>
    </row>
    <row r="25" spans="2:19" x14ac:dyDescent="0.25">
      <c r="N25" s="90" t="s">
        <v>14</v>
      </c>
      <c r="O25" s="83">
        <f>O21-O23</f>
        <v>38250</v>
      </c>
      <c r="P25" s="83">
        <f>P21-P23</f>
        <v>6024</v>
      </c>
    </row>
    <row r="26" spans="2:19" x14ac:dyDescent="0.25">
      <c r="N26" s="114"/>
      <c r="O26" s="76">
        <f>O22-O24</f>
        <v>5.1136363636363633</v>
      </c>
      <c r="P26" s="76">
        <f>P22-P24</f>
        <v>4.5636363636363635</v>
      </c>
      <c r="Q26" s="77"/>
    </row>
    <row r="27" spans="2:19" x14ac:dyDescent="0.25">
      <c r="G27" s="51">
        <f>F21*E21</f>
        <v>192</v>
      </c>
      <c r="H27" s="51"/>
      <c r="N27" s="95"/>
      <c r="O27" s="99">
        <f>SUM(O25:P25)</f>
        <v>44274</v>
      </c>
      <c r="P27" s="100"/>
      <c r="Q27" s="160"/>
    </row>
    <row r="28" spans="2:19" ht="15" customHeight="1" x14ac:dyDescent="0.25">
      <c r="E28" t="s">
        <v>22</v>
      </c>
      <c r="F28" s="5">
        <f>(B20*E20*F20)+(B21*E21*F21)</f>
        <v>1024</v>
      </c>
      <c r="N28" s="87" t="s">
        <v>34</v>
      </c>
      <c r="O28" s="88">
        <f>E7</f>
        <v>14000</v>
      </c>
      <c r="P28" s="89"/>
    </row>
    <row r="29" spans="2:19" x14ac:dyDescent="0.25">
      <c r="F29" s="5"/>
      <c r="N29" s="90" t="s">
        <v>36</v>
      </c>
      <c r="O29" s="91">
        <f>(O25+P25)-O28</f>
        <v>30274</v>
      </c>
      <c r="P29" s="92"/>
    </row>
    <row r="30" spans="2:19" x14ac:dyDescent="0.25">
      <c r="C30" t="s">
        <v>23</v>
      </c>
      <c r="D30" s="56">
        <f>50</f>
        <v>50</v>
      </c>
      <c r="E30" s="56"/>
      <c r="N30" s="95"/>
      <c r="O30" s="96">
        <f>O29/(O21+P21)</f>
        <v>0.54060714285714284</v>
      </c>
      <c r="P30" s="97"/>
    </row>
    <row r="31" spans="2:19" ht="25.5" x14ac:dyDescent="0.25">
      <c r="C31" t="s">
        <v>25</v>
      </c>
      <c r="N31" s="98" t="s">
        <v>38</v>
      </c>
      <c r="O31" s="99">
        <f>E8+H8</f>
        <v>9000</v>
      </c>
      <c r="P31" s="100"/>
    </row>
    <row r="32" spans="2:19" x14ac:dyDescent="0.25">
      <c r="N32" s="57" t="s">
        <v>39</v>
      </c>
      <c r="O32" s="101">
        <f>O29-O31</f>
        <v>21274</v>
      </c>
      <c r="P32" s="102"/>
    </row>
    <row r="33" spans="2:17" x14ac:dyDescent="0.25">
      <c r="B33" t="s">
        <v>26</v>
      </c>
      <c r="N33" s="60"/>
      <c r="O33" s="103">
        <f>O32/(O21+P21)</f>
        <v>0.37989285714285714</v>
      </c>
      <c r="P33" s="104"/>
    </row>
    <row r="34" spans="2:17" x14ac:dyDescent="0.25">
      <c r="C34" t="s">
        <v>27</v>
      </c>
      <c r="E34" s="73">
        <v>15</v>
      </c>
      <c r="F34" s="74">
        <v>10</v>
      </c>
      <c r="M34" s="3" t="s">
        <v>83</v>
      </c>
    </row>
    <row r="35" spans="2:17" ht="15" customHeight="1" x14ac:dyDescent="0.25">
      <c r="C35" t="s">
        <v>28</v>
      </c>
      <c r="E35" s="25">
        <v>0.1</v>
      </c>
      <c r="F35" s="25"/>
    </row>
    <row r="36" spans="2:17" ht="25.5" x14ac:dyDescent="0.25">
      <c r="C36" t="s">
        <v>30</v>
      </c>
      <c r="E36" s="25">
        <v>0.04</v>
      </c>
      <c r="N36" s="105" t="s">
        <v>40</v>
      </c>
      <c r="O36" s="106">
        <f>ROUND(O30,3)</f>
        <v>0.54100000000000004</v>
      </c>
      <c r="P36" s="218" t="s">
        <v>41</v>
      </c>
    </row>
    <row r="37" spans="2:17" x14ac:dyDescent="0.25">
      <c r="C37" s="82" t="s">
        <v>31</v>
      </c>
      <c r="O37" s="6" t="s">
        <v>2</v>
      </c>
      <c r="P37" s="6" t="s">
        <v>42</v>
      </c>
      <c r="Q37" s="107"/>
    </row>
    <row r="38" spans="2:17" x14ac:dyDescent="0.25">
      <c r="C38" s="4" t="s">
        <v>32</v>
      </c>
      <c r="E38" s="85">
        <v>50</v>
      </c>
      <c r="F38" s="85"/>
      <c r="O38" s="54"/>
      <c r="P38" s="54"/>
      <c r="Q38" s="108"/>
    </row>
    <row r="39" spans="2:17" x14ac:dyDescent="0.25">
      <c r="C39" t="s">
        <v>33</v>
      </c>
      <c r="E39" s="86">
        <v>400</v>
      </c>
      <c r="N39" s="47" t="s">
        <v>43</v>
      </c>
      <c r="O39" s="109">
        <f>O5</f>
        <v>30</v>
      </c>
      <c r="P39" s="109">
        <f>P5</f>
        <v>30</v>
      </c>
      <c r="Q39" s="110"/>
    </row>
    <row r="40" spans="2:17" x14ac:dyDescent="0.25">
      <c r="C40" t="s">
        <v>35</v>
      </c>
      <c r="E40" s="86">
        <v>120</v>
      </c>
      <c r="N40" s="47" t="s">
        <v>44</v>
      </c>
      <c r="O40" s="109">
        <f>O8</f>
        <v>16.8</v>
      </c>
      <c r="P40" s="109">
        <f>P8</f>
        <v>12.399999999999999</v>
      </c>
      <c r="Q40" s="110"/>
    </row>
    <row r="41" spans="2:17" ht="15" customHeight="1" x14ac:dyDescent="0.25">
      <c r="C41" t="s">
        <v>37</v>
      </c>
      <c r="D41" s="93">
        <v>10</v>
      </c>
      <c r="E41" s="93"/>
      <c r="F41" s="94">
        <v>8</v>
      </c>
      <c r="N41" s="47" t="s">
        <v>45</v>
      </c>
      <c r="O41" s="219">
        <f>O10</f>
        <v>512</v>
      </c>
      <c r="P41" s="219">
        <f>O41</f>
        <v>512</v>
      </c>
      <c r="Q41" s="111"/>
    </row>
    <row r="42" spans="2:17" x14ac:dyDescent="0.25">
      <c r="N42" s="90" t="s">
        <v>46</v>
      </c>
      <c r="O42" s="112"/>
      <c r="P42" s="113"/>
      <c r="Q42" s="113"/>
    </row>
    <row r="43" spans="2:17" x14ac:dyDescent="0.25">
      <c r="N43" s="114"/>
      <c r="O43" s="115"/>
      <c r="P43" s="116"/>
      <c r="Q43" s="116"/>
    </row>
    <row r="44" spans="2:17" x14ac:dyDescent="0.25">
      <c r="N44" s="95"/>
      <c r="O44" s="117">
        <f>ROUNDUP(O41/(O40-($O$36*O39)),0)</f>
        <v>899</v>
      </c>
      <c r="P44" s="118">
        <f>ROUNDUP(P41/(P40-($O$36*P39)),0)</f>
        <v>-134</v>
      </c>
      <c r="Q44" s="118"/>
    </row>
    <row r="45" spans="2:17" x14ac:dyDescent="0.25">
      <c r="M45" s="3" t="s">
        <v>84</v>
      </c>
      <c r="O45" s="8"/>
      <c r="P45" s="8"/>
    </row>
    <row r="47" spans="2:17" ht="15" customHeight="1" x14ac:dyDescent="0.25">
      <c r="O47" s="6" t="str">
        <f>O37</f>
        <v>Desayunos</v>
      </c>
      <c r="P47" s="6" t="str">
        <f>P37</f>
        <v>Meriendas</v>
      </c>
      <c r="Q47" s="6" t="str">
        <f>CONCATENATE(O47," y ",P47)</f>
        <v>Desayunos y Meriendas</v>
      </c>
    </row>
    <row r="48" spans="2:17" x14ac:dyDescent="0.25">
      <c r="O48" s="54"/>
      <c r="P48" s="54"/>
      <c r="Q48" s="54"/>
    </row>
    <row r="49" spans="14:20" x14ac:dyDescent="0.25">
      <c r="N49" s="47" t="s">
        <v>47</v>
      </c>
      <c r="O49" s="37">
        <v>25</v>
      </c>
      <c r="P49" s="37">
        <v>30</v>
      </c>
      <c r="Q49" s="37">
        <v>45</v>
      </c>
    </row>
    <row r="50" spans="14:20" x14ac:dyDescent="0.25">
      <c r="N50" s="119" t="s">
        <v>48</v>
      </c>
      <c r="O50" s="120">
        <v>0.55000000000000004</v>
      </c>
      <c r="P50" s="120">
        <v>0.3</v>
      </c>
      <c r="Q50" s="121">
        <v>0.33</v>
      </c>
    </row>
    <row r="51" spans="14:20" x14ac:dyDescent="0.25">
      <c r="N51" s="122"/>
      <c r="O51" s="123">
        <f>O50*G2</f>
        <v>220.00000000000003</v>
      </c>
      <c r="P51" s="123">
        <f>P50*G2</f>
        <v>120</v>
      </c>
      <c r="Q51" s="123">
        <f>Q50*G2</f>
        <v>132</v>
      </c>
    </row>
    <row r="52" spans="14:20" x14ac:dyDescent="0.25">
      <c r="N52" s="11" t="s">
        <v>7</v>
      </c>
      <c r="O52" s="37">
        <f>O49*O51</f>
        <v>5500.0000000000009</v>
      </c>
      <c r="P52" s="37">
        <f>P49*P51</f>
        <v>3600</v>
      </c>
      <c r="Q52" s="124">
        <f>Q51*Q49</f>
        <v>5940</v>
      </c>
      <c r="S52" s="127">
        <f>O7</f>
        <v>13.2</v>
      </c>
      <c r="T52" s="127">
        <f>P7</f>
        <v>17.600000000000001</v>
      </c>
    </row>
    <row r="53" spans="14:20" x14ac:dyDescent="0.25">
      <c r="N53" s="125" t="s">
        <v>29</v>
      </c>
      <c r="O53" s="126">
        <f>O7*O51</f>
        <v>2904</v>
      </c>
      <c r="P53" s="126">
        <f>P7*P51</f>
        <v>2112</v>
      </c>
      <c r="Q53" s="126">
        <f>Q51*(O7+P7)</f>
        <v>4065.6</v>
      </c>
    </row>
    <row r="54" spans="14:20" x14ac:dyDescent="0.25">
      <c r="N54" s="128" t="s">
        <v>49</v>
      </c>
      <c r="O54" s="126">
        <f>O52-O53</f>
        <v>2596.0000000000009</v>
      </c>
      <c r="P54" s="126">
        <f t="shared" ref="P54:Q54" si="0">P52-P53</f>
        <v>1488</v>
      </c>
      <c r="Q54" s="126">
        <f t="shared" si="0"/>
        <v>1874.4</v>
      </c>
    </row>
    <row r="55" spans="14:20" x14ac:dyDescent="0.25">
      <c r="N55" s="47" t="s">
        <v>50</v>
      </c>
      <c r="O55" s="129">
        <f>$F$28*O51/($O$51+$P$51)</f>
        <v>662.58823529411768</v>
      </c>
      <c r="P55" s="129">
        <f>$F$28*P51/($O$51+$P$51)</f>
        <v>361.41176470588238</v>
      </c>
      <c r="Q55" s="129">
        <f>$F$28*(Q51*2)/($O$51+$P$51)</f>
        <v>795.10588235294119</v>
      </c>
    </row>
    <row r="56" spans="14:20" x14ac:dyDescent="0.25">
      <c r="N56" s="47" t="s">
        <v>51</v>
      </c>
      <c r="O56" s="129">
        <f>O54-O55</f>
        <v>1933.4117647058833</v>
      </c>
      <c r="P56" s="129">
        <f t="shared" ref="P56:Q56" si="1">P54-P55</f>
        <v>1126.5882352941176</v>
      </c>
      <c r="Q56" s="129">
        <f t="shared" si="1"/>
        <v>1079.294117647059</v>
      </c>
    </row>
    <row r="57" spans="14:20" x14ac:dyDescent="0.25">
      <c r="N57" s="131" t="s">
        <v>53</v>
      </c>
      <c r="O57" s="132">
        <f>O56/O52</f>
        <v>0.35152941176470598</v>
      </c>
      <c r="P57" s="132">
        <f>P56/P52</f>
        <v>0.31294117647058822</v>
      </c>
      <c r="Q57" s="132">
        <f>Q56/Q52</f>
        <v>0.18169934640522878</v>
      </c>
    </row>
    <row r="59" spans="14:20" x14ac:dyDescent="0.25">
      <c r="O59" s="133"/>
      <c r="P59" s="133"/>
    </row>
    <row r="60" spans="14:20" x14ac:dyDescent="0.25">
      <c r="O60" s="133"/>
      <c r="P60" s="133"/>
    </row>
    <row r="61" spans="14:20" x14ac:dyDescent="0.25">
      <c r="O61" s="134" t="s">
        <v>54</v>
      </c>
      <c r="P61" s="134" t="s">
        <v>55</v>
      </c>
      <c r="Q61" s="135"/>
    </row>
    <row r="62" spans="14:20" x14ac:dyDescent="0.25">
      <c r="N62" s="136" t="s">
        <v>7</v>
      </c>
      <c r="O62" s="137">
        <f>O52+P52</f>
        <v>9100</v>
      </c>
      <c r="P62" s="137">
        <f>Q52+P52+O49*(O51-Q51)</f>
        <v>11740</v>
      </c>
      <c r="Q62" s="138"/>
    </row>
    <row r="63" spans="14:20" x14ac:dyDescent="0.25">
      <c r="N63" s="139" t="s">
        <v>29</v>
      </c>
      <c r="O63" s="129">
        <f>O53+P53</f>
        <v>5016</v>
      </c>
      <c r="P63" s="129">
        <f>(O51-Q51)*O7+P53+Q53</f>
        <v>7339.2000000000007</v>
      </c>
      <c r="Q63" s="140"/>
    </row>
    <row r="64" spans="14:20" x14ac:dyDescent="0.25">
      <c r="N64" s="141" t="s">
        <v>49</v>
      </c>
      <c r="O64" s="129">
        <f>O62-O63</f>
        <v>4084</v>
      </c>
      <c r="P64" s="129">
        <f>P62-P63</f>
        <v>4400.7999999999993</v>
      </c>
      <c r="Q64" s="142"/>
    </row>
    <row r="65" spans="7:22" x14ac:dyDescent="0.25">
      <c r="N65" s="47" t="s">
        <v>50</v>
      </c>
      <c r="O65" s="129">
        <f>F28</f>
        <v>1024</v>
      </c>
      <c r="P65" s="129">
        <f>O65</f>
        <v>1024</v>
      </c>
      <c r="Q65" s="143"/>
    </row>
    <row r="66" spans="7:22" x14ac:dyDescent="0.25">
      <c r="N66" s="144" t="s">
        <v>51</v>
      </c>
      <c r="O66" s="145">
        <f>O64-O65</f>
        <v>3060</v>
      </c>
      <c r="P66" s="145">
        <f>P64-P65</f>
        <v>3376.7999999999993</v>
      </c>
    </row>
    <row r="67" spans="7:22" x14ac:dyDescent="0.25">
      <c r="N67" s="146" t="s">
        <v>53</v>
      </c>
      <c r="O67" s="147">
        <f>O66/O62</f>
        <v>0.33626373626373629</v>
      </c>
      <c r="P67" s="147">
        <f>P66/P62</f>
        <v>0.28763202725724013</v>
      </c>
    </row>
    <row r="68" spans="7:22" x14ac:dyDescent="0.25">
      <c r="G68" s="130" t="s">
        <v>52</v>
      </c>
    </row>
    <row r="73" spans="7:22" x14ac:dyDescent="0.25">
      <c r="M73" s="3" t="s">
        <v>85</v>
      </c>
      <c r="S73" s="115"/>
      <c r="T73" s="133"/>
      <c r="U73" s="133"/>
      <c r="V73" s="53"/>
    </row>
    <row r="74" spans="7:22" x14ac:dyDescent="0.25">
      <c r="O74" s="148">
        <f>D30</f>
        <v>50</v>
      </c>
      <c r="P74" s="148"/>
      <c r="S74" s="115"/>
      <c r="T74" s="133"/>
      <c r="U74" s="133"/>
      <c r="V74" s="55"/>
    </row>
    <row r="75" spans="7:22" x14ac:dyDescent="0.25">
      <c r="N75" s="149" t="s">
        <v>56</v>
      </c>
      <c r="O75" s="150">
        <f>G2/O74</f>
        <v>8</v>
      </c>
      <c r="S75" s="151"/>
      <c r="T75" s="152"/>
      <c r="U75" s="152"/>
      <c r="V75" s="59"/>
    </row>
    <row r="76" spans="7:22" x14ac:dyDescent="0.25">
      <c r="N76" s="149" t="s">
        <v>57</v>
      </c>
      <c r="O76" s="150">
        <f>H24</f>
        <v>5</v>
      </c>
      <c r="P76" s="150"/>
      <c r="S76" s="151"/>
      <c r="T76" s="155"/>
      <c r="U76" s="155"/>
      <c r="V76" s="62"/>
    </row>
    <row r="77" spans="7:22" x14ac:dyDescent="0.25">
      <c r="N77" s="149" t="s">
        <v>58</v>
      </c>
      <c r="O77" s="153">
        <f>O75-O76</f>
        <v>3</v>
      </c>
      <c r="P77" s="154">
        <v>18</v>
      </c>
      <c r="S77" s="157"/>
      <c r="T77" s="158"/>
      <c r="U77" s="158"/>
      <c r="V77" s="67"/>
    </row>
    <row r="78" spans="7:22" x14ac:dyDescent="0.25">
      <c r="N78" s="149" t="s">
        <v>59</v>
      </c>
      <c r="O78" s="156">
        <f>P77*E2</f>
        <v>396</v>
      </c>
      <c r="P78" s="156">
        <f>O78*O77</f>
        <v>1188</v>
      </c>
      <c r="S78" s="157"/>
      <c r="T78" s="159"/>
      <c r="U78" s="159"/>
      <c r="V78" s="71"/>
    </row>
    <row r="79" spans="7:22" x14ac:dyDescent="0.25">
      <c r="O79" s="6" t="s">
        <v>60</v>
      </c>
      <c r="P79" s="133"/>
      <c r="S79" s="157"/>
      <c r="T79" s="160"/>
      <c r="U79" s="160"/>
      <c r="V79" s="77"/>
    </row>
    <row r="80" spans="7:22" x14ac:dyDescent="0.25">
      <c r="O80" s="54"/>
      <c r="P80" s="133"/>
      <c r="S80" s="157"/>
      <c r="T80" s="159"/>
      <c r="U80" s="159"/>
      <c r="V80" s="79"/>
    </row>
    <row r="81" spans="13:22" x14ac:dyDescent="0.25">
      <c r="N81" s="47" t="s">
        <v>7</v>
      </c>
      <c r="O81" s="161">
        <f>400*140</f>
        <v>56000</v>
      </c>
      <c r="P81" s="162"/>
      <c r="S81" s="157"/>
      <c r="T81" s="160"/>
      <c r="U81" s="160"/>
      <c r="V81" s="81"/>
    </row>
    <row r="82" spans="13:22" x14ac:dyDescent="0.25">
      <c r="N82" s="163" t="s">
        <v>61</v>
      </c>
      <c r="O82" s="161">
        <f>O23+P23</f>
        <v>11726</v>
      </c>
      <c r="P82" s="164"/>
      <c r="S82" s="165"/>
      <c r="T82" s="140"/>
      <c r="U82" s="140"/>
      <c r="V82" s="84">
        <f>SUM(T82:U82)</f>
        <v>0</v>
      </c>
    </row>
    <row r="83" spans="13:22" x14ac:dyDescent="0.25">
      <c r="N83" s="141" t="s">
        <v>49</v>
      </c>
      <c r="O83" s="161">
        <f>O81-O82</f>
        <v>44274</v>
      </c>
      <c r="P83" s="162"/>
      <c r="S83" s="165"/>
      <c r="T83" s="160"/>
      <c r="U83" s="160"/>
      <c r="V83" s="77"/>
    </row>
    <row r="84" spans="13:22" x14ac:dyDescent="0.25">
      <c r="N84" s="144" t="s">
        <v>62</v>
      </c>
      <c r="O84" s="166">
        <f>O28+P78+E8+H8</f>
        <v>24188</v>
      </c>
      <c r="P84" s="140"/>
      <c r="S84" s="168"/>
      <c r="T84" s="160"/>
      <c r="U84" s="160"/>
      <c r="V84" s="160"/>
    </row>
    <row r="85" spans="13:22" x14ac:dyDescent="0.25">
      <c r="N85" s="144" t="s">
        <v>63</v>
      </c>
      <c r="O85" s="167">
        <f>O83-O84</f>
        <v>20086</v>
      </c>
      <c r="P85" s="140"/>
      <c r="S85" s="168"/>
      <c r="T85" s="160"/>
      <c r="U85" s="160"/>
      <c r="V85" s="160"/>
    </row>
    <row r="86" spans="13:22" x14ac:dyDescent="0.25">
      <c r="N86" s="146" t="s">
        <v>64</v>
      </c>
      <c r="O86" s="169">
        <f>O85/O81</f>
        <v>0.3586785714285714</v>
      </c>
      <c r="P86" s="140"/>
      <c r="S86" s="170"/>
      <c r="T86" s="171"/>
      <c r="U86" s="171"/>
    </row>
    <row r="87" spans="13:22" x14ac:dyDescent="0.25">
      <c r="M87" s="3" t="s">
        <v>86</v>
      </c>
    </row>
    <row r="88" spans="13:22" x14ac:dyDescent="0.25">
      <c r="P88" s="172"/>
      <c r="Q88" s="172"/>
    </row>
    <row r="89" spans="13:22" x14ac:dyDescent="0.25">
      <c r="N89" s="173" t="s">
        <v>65</v>
      </c>
      <c r="O89" s="174"/>
      <c r="P89" s="175">
        <f>E3</f>
        <v>400</v>
      </c>
      <c r="Q89" s="176">
        <f>(P89*E34)/F34</f>
        <v>600</v>
      </c>
    </row>
    <row r="90" spans="13:22" x14ac:dyDescent="0.25">
      <c r="N90" s="177"/>
      <c r="O90" s="178"/>
      <c r="P90" s="179">
        <f>Q89*E2</f>
        <v>13200</v>
      </c>
      <c r="Q90" s="180"/>
    </row>
    <row r="91" spans="13:22" x14ac:dyDescent="0.25">
      <c r="N91" s="181" t="s">
        <v>66</v>
      </c>
      <c r="O91" s="182"/>
      <c r="P91" s="112"/>
      <c r="Q91" s="113"/>
    </row>
    <row r="92" spans="13:22" x14ac:dyDescent="0.25">
      <c r="N92" s="183" t="s">
        <v>67</v>
      </c>
      <c r="O92" s="184"/>
      <c r="P92" s="185">
        <f>E36</f>
        <v>0.04</v>
      </c>
      <c r="Q92" s="186">
        <f>P92*P90</f>
        <v>528</v>
      </c>
    </row>
    <row r="93" spans="13:22" x14ac:dyDescent="0.25">
      <c r="N93" s="181" t="s">
        <v>68</v>
      </c>
      <c r="O93" s="112"/>
      <c r="P93" s="112"/>
      <c r="Q93" s="113"/>
    </row>
    <row r="94" spans="13:22" x14ac:dyDescent="0.25">
      <c r="N94" s="187" t="s">
        <v>69</v>
      </c>
      <c r="O94" s="188"/>
      <c r="P94" s="115"/>
      <c r="Q94" s="116"/>
    </row>
    <row r="95" spans="13:22" x14ac:dyDescent="0.25">
      <c r="N95" s="189" t="s">
        <v>70</v>
      </c>
      <c r="O95" s="190"/>
      <c r="P95" s="191">
        <f>P90/E38</f>
        <v>264</v>
      </c>
      <c r="Q95" s="192"/>
    </row>
    <row r="96" spans="13:22" x14ac:dyDescent="0.25">
      <c r="N96" s="193" t="s">
        <v>71</v>
      </c>
      <c r="O96" s="194">
        <f>P95*D41</f>
        <v>2640</v>
      </c>
      <c r="P96" s="195">
        <f>INT(O96/60)</f>
        <v>44</v>
      </c>
      <c r="Q96" s="196">
        <f>P96*F41</f>
        <v>352</v>
      </c>
    </row>
    <row r="97" spans="14:17" x14ac:dyDescent="0.25">
      <c r="N97" s="187" t="s">
        <v>72</v>
      </c>
      <c r="O97" s="188"/>
      <c r="P97" s="115"/>
      <c r="Q97" s="197"/>
    </row>
    <row r="98" spans="14:17" x14ac:dyDescent="0.25">
      <c r="N98" s="189" t="s">
        <v>73</v>
      </c>
      <c r="O98" s="190"/>
      <c r="P98" s="198">
        <f>E39</f>
        <v>400</v>
      </c>
      <c r="Q98" s="196">
        <f>P98/10</f>
        <v>40</v>
      </c>
    </row>
    <row r="99" spans="14:17" x14ac:dyDescent="0.25">
      <c r="N99" s="183" t="s">
        <v>74</v>
      </c>
      <c r="O99" s="184"/>
      <c r="P99" s="199">
        <f>E40</f>
        <v>120</v>
      </c>
      <c r="Q99" s="200">
        <f>P99/10</f>
        <v>12</v>
      </c>
    </row>
    <row r="100" spans="14:17" x14ac:dyDescent="0.25">
      <c r="N100" s="201" t="s">
        <v>75</v>
      </c>
      <c r="O100" s="202"/>
      <c r="P100" s="203">
        <f>Q100/P90</f>
        <v>7.0606060606060603E-2</v>
      </c>
      <c r="Q100" s="84">
        <f>Q92+Q96+Q98+Q99</f>
        <v>932</v>
      </c>
    </row>
    <row r="101" spans="14:17" x14ac:dyDescent="0.25">
      <c r="N101" s="204" t="s">
        <v>76</v>
      </c>
      <c r="O101" s="205"/>
      <c r="P101" s="206">
        <f>E35</f>
        <v>0.1</v>
      </c>
      <c r="Q101" s="207" t="str">
        <f>IF(P101&gt;P100,"Producir","Subcontrata")</f>
        <v>Producir</v>
      </c>
    </row>
    <row r="102" spans="14:17" x14ac:dyDescent="0.25">
      <c r="P102" s="220">
        <f>P101-P100</f>
        <v>2.9393939393939403E-2</v>
      </c>
    </row>
    <row r="103" spans="14:17" x14ac:dyDescent="0.25">
      <c r="P103">
        <f>P102*P90*10</f>
        <v>3880.0000000000009</v>
      </c>
    </row>
  </sheetData>
  <mergeCells count="83">
    <mergeCell ref="O27:P27"/>
    <mergeCell ref="N25:N27"/>
    <mergeCell ref="N97:O97"/>
    <mergeCell ref="N98:O98"/>
    <mergeCell ref="N99:O99"/>
    <mergeCell ref="N100:O100"/>
    <mergeCell ref="N101:O101"/>
    <mergeCell ref="A5:D5"/>
    <mergeCell ref="A6:D6"/>
    <mergeCell ref="C11:D11"/>
    <mergeCell ref="C12:D12"/>
    <mergeCell ref="T86:U86"/>
    <mergeCell ref="N89:O90"/>
    <mergeCell ref="P90:Q90"/>
    <mergeCell ref="N92:O92"/>
    <mergeCell ref="N94:O94"/>
    <mergeCell ref="N95:O95"/>
    <mergeCell ref="P95:Q95"/>
    <mergeCell ref="S75:S76"/>
    <mergeCell ref="S77:S79"/>
    <mergeCell ref="O79:O80"/>
    <mergeCell ref="P79:P80"/>
    <mergeCell ref="S80:S81"/>
    <mergeCell ref="S82:S83"/>
    <mergeCell ref="O59:O60"/>
    <mergeCell ref="P59:P60"/>
    <mergeCell ref="O74:P74"/>
    <mergeCell ref="T73:T74"/>
    <mergeCell ref="U73:U74"/>
    <mergeCell ref="V73:V74"/>
    <mergeCell ref="N42:N44"/>
    <mergeCell ref="O45:P45"/>
    <mergeCell ref="O47:O48"/>
    <mergeCell ref="P47:P48"/>
    <mergeCell ref="Q47:Q48"/>
    <mergeCell ref="N50:N51"/>
    <mergeCell ref="N32:N33"/>
    <mergeCell ref="O32:P32"/>
    <mergeCell ref="O33:P33"/>
    <mergeCell ref="O37:O38"/>
    <mergeCell ref="P37:P38"/>
    <mergeCell ref="Q37:Q38"/>
    <mergeCell ref="O28:P28"/>
    <mergeCell ref="N29:N30"/>
    <mergeCell ref="O29:P29"/>
    <mergeCell ref="D41:E41"/>
    <mergeCell ref="O30:P30"/>
    <mergeCell ref="O31:P31"/>
    <mergeCell ref="D30:E30"/>
    <mergeCell ref="N18:N19"/>
    <mergeCell ref="N20:N22"/>
    <mergeCell ref="N23:N24"/>
    <mergeCell ref="E38:F38"/>
    <mergeCell ref="C18:D18"/>
    <mergeCell ref="C19:D19"/>
    <mergeCell ref="C20:D20"/>
    <mergeCell ref="C21:D21"/>
    <mergeCell ref="G27:H27"/>
    <mergeCell ref="O16:O17"/>
    <mergeCell ref="P16:P17"/>
    <mergeCell ref="Q16:Q17"/>
    <mergeCell ref="C17:D17"/>
    <mergeCell ref="E15:E16"/>
    <mergeCell ref="N11:N12"/>
    <mergeCell ref="O11:O12"/>
    <mergeCell ref="P11:P12"/>
    <mergeCell ref="Q11:Q12"/>
    <mergeCell ref="C13:D14"/>
    <mergeCell ref="S6:S7"/>
    <mergeCell ref="N8:N9"/>
    <mergeCell ref="E12:F12"/>
    <mergeCell ref="B24:D24"/>
    <mergeCell ref="F15:F16"/>
    <mergeCell ref="E9:E10"/>
    <mergeCell ref="F9:F10"/>
    <mergeCell ref="G9:G10"/>
    <mergeCell ref="H9:H10"/>
    <mergeCell ref="I9:I10"/>
    <mergeCell ref="N6:N7"/>
    <mergeCell ref="A2:D2"/>
    <mergeCell ref="O3:O4"/>
    <mergeCell ref="P3:P4"/>
    <mergeCell ref="Q3:Q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Cuchara SL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Mor</dc:creator>
  <cp:lastModifiedBy>Sandra Mor</cp:lastModifiedBy>
  <dcterms:created xsi:type="dcterms:W3CDTF">2015-01-14T10:38:41Z</dcterms:created>
  <dcterms:modified xsi:type="dcterms:W3CDTF">2015-01-14T13:54:09Z</dcterms:modified>
</cp:coreProperties>
</file>