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55" windowWidth="14805" windowHeight="8010" tabRatio="532" activeTab="1"/>
  </bookViews>
  <sheets>
    <sheet name="Enunciado" sheetId="1" r:id="rId1"/>
    <sheet name="Soluci" sheetId="3" r:id="rId2"/>
    <sheet name="Formatos" sheetId="4" r:id="rId3"/>
  </sheets>
  <calcPr calcId="152511"/>
</workbook>
</file>

<file path=xl/calcChain.xml><?xml version="1.0" encoding="utf-8"?>
<calcChain xmlns="http://schemas.openxmlformats.org/spreadsheetml/2006/main">
  <c r="H12" i="3" l="1"/>
  <c r="G12" i="3"/>
  <c r="F12" i="3"/>
  <c r="G96" i="3" l="1"/>
  <c r="E15" i="4"/>
  <c r="E13" i="4"/>
  <c r="E11" i="4"/>
  <c r="E9" i="4"/>
  <c r="E27" i="4"/>
  <c r="E20" i="4"/>
  <c r="E4" i="4"/>
  <c r="E17" i="4" s="1"/>
  <c r="E6" i="3" l="1"/>
  <c r="E7" i="3" s="1"/>
  <c r="G10" i="1"/>
  <c r="G84" i="3" l="1"/>
  <c r="C84" i="3"/>
  <c r="H7" i="3"/>
  <c r="E84" i="3" s="1"/>
  <c r="F83" i="3"/>
  <c r="C83" i="3"/>
  <c r="C12" i="3"/>
  <c r="E19" i="3" l="1"/>
  <c r="F84" i="3"/>
  <c r="F58" i="3"/>
  <c r="D63" i="3" l="1"/>
  <c r="F59" i="3" l="1"/>
  <c r="C59" i="3"/>
  <c r="C58" i="3"/>
  <c r="G58" i="3" l="1"/>
  <c r="D64" i="3"/>
  <c r="E63" i="3"/>
  <c r="E39" i="3" l="1"/>
  <c r="C39" i="3"/>
  <c r="E38" i="3"/>
  <c r="C38" i="3"/>
  <c r="E37" i="3"/>
  <c r="C37" i="3"/>
  <c r="E36" i="3"/>
  <c r="C36" i="3"/>
  <c r="E35" i="3"/>
  <c r="C35" i="3"/>
  <c r="E34" i="3"/>
  <c r="C34" i="3"/>
  <c r="E26" i="3"/>
  <c r="C26" i="3"/>
  <c r="E24" i="3"/>
  <c r="C24" i="3"/>
  <c r="E22" i="3"/>
  <c r="C22" i="3"/>
  <c r="E40" i="3" l="1"/>
  <c r="G61" i="3" s="1"/>
  <c r="E73" i="3" s="1"/>
  <c r="E28" i="3"/>
  <c r="H6" i="3"/>
  <c r="E11" i="3"/>
  <c r="F11" i="3"/>
  <c r="G11" i="3"/>
  <c r="D11" i="3"/>
  <c r="E10" i="3"/>
  <c r="F10" i="3"/>
  <c r="G10" i="3"/>
  <c r="D10" i="3"/>
  <c r="C10" i="3"/>
  <c r="H9" i="3"/>
  <c r="E9" i="3"/>
  <c r="F9" i="3"/>
  <c r="G9" i="3"/>
  <c r="D9" i="3"/>
  <c r="D8" i="3"/>
  <c r="B8" i="3"/>
  <c r="E83" i="3" l="1"/>
  <c r="H10" i="3"/>
  <c r="E18" i="3" l="1"/>
  <c r="G62" i="3" s="1"/>
  <c r="F92" i="3"/>
  <c r="E92" i="3"/>
  <c r="E89" i="3"/>
  <c r="F19" i="3"/>
  <c r="E23" i="3" s="1"/>
  <c r="E85" i="3"/>
  <c r="G85" i="3"/>
  <c r="G83" i="3"/>
  <c r="F89" i="3" s="1"/>
  <c r="E31" i="3"/>
  <c r="G60" i="3" s="1"/>
  <c r="G67" i="3" s="1"/>
  <c r="F63" i="3"/>
  <c r="E27" i="3" l="1"/>
  <c r="E20" i="3"/>
  <c r="E6" i="4" s="1"/>
  <c r="E18" i="4" s="1"/>
  <c r="E29" i="4" s="1"/>
  <c r="E30" i="4" s="1"/>
  <c r="F85" i="3"/>
  <c r="F93" i="3"/>
  <c r="F94" i="3" s="1"/>
  <c r="F90" i="3"/>
  <c r="F91" i="3" s="1"/>
  <c r="E90" i="3"/>
  <c r="G68" i="3"/>
  <c r="E70" i="3"/>
  <c r="E49" i="3"/>
  <c r="E25" i="3"/>
  <c r="E32" i="3"/>
  <c r="E42" i="3" s="1"/>
  <c r="E43" i="3" s="1"/>
  <c r="E51" i="3" l="1"/>
  <c r="E52" i="3" s="1"/>
  <c r="E50" i="3"/>
  <c r="E29" i="3"/>
  <c r="E93" i="3"/>
  <c r="E94" i="3" s="1"/>
  <c r="G94" i="3" s="1"/>
  <c r="E91" i="3"/>
  <c r="G91" i="3" s="1"/>
  <c r="E72" i="3"/>
  <c r="E71" i="3"/>
  <c r="G95" i="3" l="1"/>
  <c r="G98" i="3" s="1"/>
  <c r="E74" i="3"/>
  <c r="E75" i="3" l="1"/>
  <c r="E76" i="3" s="1"/>
  <c r="C77" i="3" s="1"/>
  <c r="E77" i="3" s="1"/>
</calcChain>
</file>

<file path=xl/sharedStrings.xml><?xml version="1.0" encoding="utf-8"?>
<sst xmlns="http://schemas.openxmlformats.org/spreadsheetml/2006/main" count="121" uniqueCount="95">
  <si>
    <t>Total</t>
  </si>
  <si>
    <t>Directa</t>
  </si>
  <si>
    <t>Ingresos</t>
  </si>
  <si>
    <t>PARTE I:</t>
  </si>
  <si>
    <t>Capacidad de producción por semana:</t>
  </si>
  <si>
    <t>Viajes Semana:</t>
  </si>
  <si>
    <t>Pasajeros/semana:</t>
  </si>
  <si>
    <t>Tasa de ocupación:</t>
  </si>
  <si>
    <t>Diferencia</t>
  </si>
  <si>
    <t>Comisiones</t>
  </si>
  <si>
    <t>Beneficio diferencial semanal</t>
  </si>
  <si>
    <t>Costes fijos semanales</t>
  </si>
  <si>
    <t>Costes fijos semana</t>
  </si>
  <si>
    <t>Web</t>
  </si>
  <si>
    <t>Hoteles</t>
  </si>
  <si>
    <t>Usuarios</t>
  </si>
  <si>
    <t>Precio / tarifa estandar:</t>
  </si>
  <si>
    <t>Canales de comercialización</t>
  </si>
  <si>
    <t>Otros</t>
  </si>
  <si>
    <t>Comisión (*)</t>
  </si>
  <si>
    <t>(*) Porcentaje de comision sobre la tarifa estandar pactada</t>
  </si>
  <si>
    <t>Plazas disponibles:</t>
  </si>
  <si>
    <t>Costes directos del servicio</t>
  </si>
  <si>
    <t>Guía turístico (€/quincena) (*)</t>
  </si>
  <si>
    <t>Entradas a museos, monumentos, lugares de culto, etc</t>
  </si>
  <si>
    <t>Actividad: viajes semana:</t>
  </si>
  <si>
    <t>Seguros individuales de pasajeros, accidente, etc.</t>
  </si>
  <si>
    <t>Menú y degustaciones</t>
  </si>
  <si>
    <t>Costes indirectos del servicio (*)</t>
  </si>
  <si>
    <t>Costes de administración</t>
  </si>
  <si>
    <t>Impuestos, licencias y similares</t>
  </si>
  <si>
    <t>Tours VIP: Estimaciones y previsiones</t>
  </si>
  <si>
    <t>Tarifa estándar:</t>
  </si>
  <si>
    <t>Cuestión 1. Tarifa precio medio ponderado</t>
  </si>
  <si>
    <t>Precio medio por billete</t>
  </si>
  <si>
    <t>Usuarios semana</t>
  </si>
  <si>
    <t>Ingresos previstos</t>
  </si>
  <si>
    <t>Costes variables del servicio</t>
  </si>
  <si>
    <t>Subtotal:</t>
  </si>
  <si>
    <t>Margen de contribución</t>
  </si>
  <si>
    <t>(*) se considera que un año tiene aproximadamente 52 semanas</t>
  </si>
  <si>
    <t>Presupuestos de comunicación</t>
  </si>
  <si>
    <t>Otros costes (alquiler, luz, etc..)</t>
  </si>
  <si>
    <t>Punto de equilibrio semanal y tasa de ocupación</t>
  </si>
  <si>
    <t>Usuarios total:</t>
  </si>
  <si>
    <t>Usaurios por viaje:</t>
  </si>
  <si>
    <t>Semanal</t>
  </si>
  <si>
    <t>Tasa de ocupación media:</t>
  </si>
  <si>
    <t>Cuestión 3. Punto muerto, nº de servicios por semana necesarios</t>
  </si>
  <si>
    <t>Cuestión 2. Determinar el resultado previsto semanal para la tasa de ocupación media del año</t>
  </si>
  <si>
    <t>Estimación del resultado</t>
  </si>
  <si>
    <t>Resultado de explotación semanal:</t>
  </si>
  <si>
    <t>Otros datos</t>
  </si>
  <si>
    <t>Tasa media impositiva sobre beneficios</t>
  </si>
  <si>
    <t>Cuestión 4. Planificacion de beneficio</t>
  </si>
  <si>
    <t>Condiciones, objetivos del beneficio</t>
  </si>
  <si>
    <t>CF =</t>
  </si>
  <si>
    <t>Mcu =</t>
  </si>
  <si>
    <t>Pu=</t>
  </si>
  <si>
    <t>Ingresos:</t>
  </si>
  <si>
    <t>QT (semana):</t>
  </si>
  <si>
    <t>Comprobación</t>
  </si>
  <si>
    <t>Total Ingresos netos:</t>
  </si>
  <si>
    <t>Costes variables totales</t>
  </si>
  <si>
    <t>Número de usuarios semana:</t>
  </si>
  <si>
    <t>Beneficio semanal sobre ingresos netos (BDI)</t>
  </si>
  <si>
    <t>Impuesto</t>
  </si>
  <si>
    <t>Cuestión 5. Análisis del beneficio diferencial semanal</t>
  </si>
  <si>
    <t>Estrategia</t>
  </si>
  <si>
    <t>Estrategia comercial</t>
  </si>
  <si>
    <t>Propuesta de variación en la tarifa estándar:</t>
  </si>
  <si>
    <t>Tasa de ocupación prevista:</t>
  </si>
  <si>
    <t>Variación</t>
  </si>
  <si>
    <t>Situación</t>
  </si>
  <si>
    <t>Variación de los ingresos:</t>
  </si>
  <si>
    <t>Situación actual</t>
  </si>
  <si>
    <t>Estrategia planteada</t>
  </si>
  <si>
    <t>Efecto cambio tarifa</t>
  </si>
  <si>
    <t>Efecto cambio tasa de ocupación</t>
  </si>
  <si>
    <t>Variación de los ingresos</t>
  </si>
  <si>
    <t>Variación en los costes fijos: No se producen cambios</t>
  </si>
  <si>
    <t>Datos técnicos. Capacidad de producción</t>
  </si>
  <si>
    <t>Alquiler  autobús con chofer (7 viajes a la semana)</t>
  </si>
  <si>
    <t>(*) Con los guías turisticos tenemos acordado contratos quincenales con el fin garantizar una cierta estabilidad y seguridad para las partes (empresa-guía).</t>
  </si>
  <si>
    <t>Usuarios semana  (55%)</t>
  </si>
  <si>
    <t>Resultado de explotación por usuario:</t>
  </si>
  <si>
    <t>Rtdo de explotación por usuario:</t>
  </si>
  <si>
    <t>Ingresos semanales:</t>
  </si>
  <si>
    <t>Total ingresos netos semanales:</t>
  </si>
  <si>
    <t>Cantidad de usuarios semanales:</t>
  </si>
  <si>
    <t>Resultado Bruto (BAI)</t>
  </si>
  <si>
    <t>Beneficio después de impuestos (BDI)</t>
  </si>
  <si>
    <t>Variación de los costes variables totales:</t>
  </si>
  <si>
    <t>Tarifa media ponderada corregida:</t>
  </si>
  <si>
    <t>Análisis de costes, ingresos y beneficios diferenciales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</si>
</sst>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#,##0\ &quot;€&quot;;\-#,##0\ &quot;€&quot;"/>
    <numFmt numFmtId="164" formatCode="#,##0.00\ &quot;€/ud&quot;"/>
    <numFmt numFmtId="165" formatCode="#,##0\ &quot;€&quot;"/>
    <numFmt numFmtId="166" formatCode="0.0%"/>
    <numFmt numFmtId="167" formatCode="#,##0.00\ &quot;€&quot;"/>
    <numFmt numFmtId="168" formatCode="#,##0.0\ &quot;€&quot;"/>
    <numFmt numFmtId="169" formatCode="#,##0\ &quot;viajes&quot;"/>
    <numFmt numFmtId="170" formatCode="#,##0\ &quot;usuario&quot;"/>
    <numFmt numFmtId="171" formatCode="#,##0.0\ &quot;usuario&quot;"/>
    <numFmt numFmtId="172" formatCode="#,##0.0\ &quot;€/semana&quot;"/>
    <numFmt numFmtId="173" formatCode="#,##0\ &quot;plazas&quot;"/>
    <numFmt numFmtId="174" formatCode="#,##0\ &quot;€/semana&quot;"/>
    <numFmt numFmtId="175" formatCode="#,##0\ &quot;€/quincena&quot;"/>
    <numFmt numFmtId="176" formatCode="#,##0\ &quot;€/año&quot;"/>
    <numFmt numFmtId="177" formatCode="#,##0.0\ &quot;€/usuario&quot;"/>
    <numFmt numFmtId="178" formatCode="#,##0.0\ &quot;usuarios/semana&quot;"/>
    <numFmt numFmtId="179" formatCode="#,##0.0\ &quot;usuarios/viaje&quot;"/>
    <numFmt numFmtId="180" formatCode="#,##0.0\ &quot;usuarios&quot;"/>
    <numFmt numFmtId="181" formatCode="#,##0.0\ &quot;usua&quot;"/>
    <numFmt numFmtId="182" formatCode="#,##0.00\ &quot;€/billete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9" fillId="0" borderId="12" applyNumberFormat="0" applyFill="0" applyAlignment="0" applyProtection="0"/>
    <xf numFmtId="0" fontId="11" fillId="0" borderId="13" applyNumberFormat="0" applyFill="0" applyAlignment="0" applyProtection="0"/>
  </cellStyleXfs>
  <cellXfs count="157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6" xfId="0" applyBorder="1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1" fillId="0" borderId="0" xfId="0" applyFont="1" applyBorder="1"/>
    <xf numFmtId="169" fontId="4" fillId="0" borderId="0" xfId="0" applyNumberFormat="1" applyFont="1" applyAlignment="1">
      <alignment horizontal="left" vertical="center"/>
    </xf>
    <xf numFmtId="170" fontId="4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0" fontId="1" fillId="0" borderId="0" xfId="0" applyFont="1"/>
    <xf numFmtId="167" fontId="0" fillId="0" borderId="0" xfId="0" applyNumberFormat="1"/>
    <xf numFmtId="171" fontId="4" fillId="0" borderId="0" xfId="0" applyNumberFormat="1" applyFont="1" applyBorder="1" applyAlignment="1">
      <alignment horizontal="center" vertical="center"/>
    </xf>
    <xf numFmtId="168" fontId="0" fillId="0" borderId="0" xfId="0" applyNumberFormat="1"/>
    <xf numFmtId="9" fontId="8" fillId="2" borderId="0" xfId="0" applyNumberFormat="1" applyFont="1" applyFill="1" applyAlignment="1">
      <alignment horizontal="left" vertical="top"/>
    </xf>
    <xf numFmtId="9" fontId="8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4" fillId="0" borderId="0" xfId="0" applyNumberFormat="1" applyFont="1" applyBorder="1" applyAlignment="1">
      <alignment vertical="center"/>
    </xf>
    <xf numFmtId="9" fontId="0" fillId="0" borderId="0" xfId="0" applyNumberFormat="1"/>
    <xf numFmtId="0" fontId="0" fillId="0" borderId="1" xfId="0" applyBorder="1"/>
    <xf numFmtId="0" fontId="0" fillId="0" borderId="0" xfId="0" applyAlignment="1">
      <alignment horizontal="center" vertical="center"/>
    </xf>
    <xf numFmtId="166" fontId="0" fillId="0" borderId="0" xfId="0" applyNumberFormat="1"/>
    <xf numFmtId="166" fontId="0" fillId="0" borderId="14" xfId="1" applyNumberFormat="1" applyFont="1" applyBorder="1" applyAlignment="1">
      <alignment horizontal="center" vertical="center"/>
    </xf>
    <xf numFmtId="0" fontId="9" fillId="0" borderId="12" xfId="3" applyFill="1" applyAlignment="1">
      <alignment vertical="center"/>
    </xf>
    <xf numFmtId="0" fontId="8" fillId="0" borderId="8" xfId="0" applyFont="1" applyBorder="1" applyAlignment="1">
      <alignment vertical="center"/>
    </xf>
    <xf numFmtId="173" fontId="0" fillId="0" borderId="0" xfId="0" applyNumberFormat="1"/>
    <xf numFmtId="0" fontId="6" fillId="0" borderId="0" xfId="0" applyFont="1" applyAlignment="1">
      <alignment vertical="center" wrapText="1"/>
    </xf>
    <xf numFmtId="176" fontId="4" fillId="0" borderId="0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164" fontId="4" fillId="0" borderId="0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74" fontId="0" fillId="0" borderId="0" xfId="0" applyNumberFormat="1" applyBorder="1" applyAlignment="1">
      <alignment horizontal="right" vertical="center"/>
    </xf>
    <xf numFmtId="164" fontId="4" fillId="0" borderId="0" xfId="0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9" fontId="4" fillId="0" borderId="0" xfId="1" applyFont="1" applyBorder="1" applyAlignment="1">
      <alignment horizontal="right" vertical="center"/>
    </xf>
    <xf numFmtId="9" fontId="0" fillId="0" borderId="0" xfId="1" applyFont="1" applyAlignment="1">
      <alignment horizontal="center"/>
    </xf>
    <xf numFmtId="170" fontId="4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166" fontId="0" fillId="0" borderId="0" xfId="1" applyNumberFormat="1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174" fontId="4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/>
    </xf>
    <xf numFmtId="166" fontId="0" fillId="0" borderId="0" xfId="0" applyNumberForma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80" fontId="4" fillId="0" borderId="0" xfId="0" applyNumberFormat="1" applyFont="1" applyBorder="1" applyAlignment="1">
      <alignment vertical="center"/>
    </xf>
    <xf numFmtId="168" fontId="0" fillId="0" borderId="0" xfId="0" applyNumberFormat="1" applyBorder="1" applyAlignment="1"/>
    <xf numFmtId="181" fontId="0" fillId="0" borderId="0" xfId="0" applyNumberFormat="1" applyFont="1"/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170" fontId="0" fillId="0" borderId="0" xfId="0" applyNumberFormat="1"/>
    <xf numFmtId="170" fontId="4" fillId="0" borderId="0" xfId="0" applyNumberFormat="1" applyFont="1" applyAlignment="1">
      <alignment horizontal="right" vertical="center"/>
    </xf>
    <xf numFmtId="5" fontId="0" fillId="0" borderId="0" xfId="0" applyNumberFormat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0" fillId="0" borderId="13" xfId="4" applyFont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4" fontId="4" fillId="0" borderId="0" xfId="0" applyNumberFormat="1" applyFont="1" applyBorder="1" applyAlignment="1">
      <alignment horizontal="right" vertical="center"/>
    </xf>
    <xf numFmtId="175" fontId="4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right" vertical="center"/>
    </xf>
    <xf numFmtId="167" fontId="0" fillId="0" borderId="0" xfId="0" applyNumberFormat="1" applyBorder="1" applyAlignment="1">
      <alignment horizontal="center"/>
    </xf>
    <xf numFmtId="168" fontId="0" fillId="0" borderId="0" xfId="0" applyNumberFormat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right" vertical="top"/>
    </xf>
    <xf numFmtId="0" fontId="8" fillId="2" borderId="0" xfId="0" applyFont="1" applyFill="1" applyBorder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77" fontId="4" fillId="4" borderId="0" xfId="0" applyNumberFormat="1" applyFont="1" applyFill="1" applyBorder="1" applyAlignment="1">
      <alignment horizontal="center" vertical="center"/>
    </xf>
    <xf numFmtId="172" fontId="0" fillId="0" borderId="0" xfId="0" applyNumberForma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right" vertical="center"/>
    </xf>
    <xf numFmtId="174" fontId="0" fillId="0" borderId="0" xfId="0" applyNumberFormat="1" applyBorder="1" applyAlignment="1">
      <alignment horizontal="right" vertical="center"/>
    </xf>
    <xf numFmtId="174" fontId="0" fillId="0" borderId="17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4" fontId="0" fillId="4" borderId="0" xfId="0" applyNumberForma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 vertical="center"/>
    </xf>
    <xf numFmtId="178" fontId="4" fillId="0" borderId="0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65" fontId="0" fillId="0" borderId="17" xfId="0" applyNumberFormat="1" applyBorder="1" applyAlignment="1">
      <alignment horizontal="center"/>
    </xf>
    <xf numFmtId="5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172" fontId="0" fillId="0" borderId="10" xfId="0" applyNumberFormat="1" applyBorder="1" applyAlignment="1">
      <alignment horizontal="right" vertical="center"/>
    </xf>
    <xf numFmtId="172" fontId="0" fillId="0" borderId="9" xfId="0" applyNumberFormat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74" fontId="0" fillId="0" borderId="6" xfId="0" applyNumberFormat="1" applyBorder="1" applyAlignment="1">
      <alignment horizontal="right" vertical="center"/>
    </xf>
    <xf numFmtId="174" fontId="0" fillId="0" borderId="2" xfId="0" applyNumberFormat="1" applyBorder="1" applyAlignment="1">
      <alignment horizontal="right" vertical="center"/>
    </xf>
    <xf numFmtId="174" fontId="0" fillId="0" borderId="11" xfId="0" applyNumberFormat="1" applyBorder="1" applyAlignment="1">
      <alignment horizontal="right" vertical="center"/>
    </xf>
    <xf numFmtId="174" fontId="0" fillId="0" borderId="19" xfId="0" applyNumberFormat="1" applyBorder="1" applyAlignment="1">
      <alignment horizontal="right" vertical="center"/>
    </xf>
    <xf numFmtId="174" fontId="0" fillId="0" borderId="7" xfId="0" applyNumberFormat="1" applyBorder="1" applyAlignment="1">
      <alignment horizontal="right" vertical="center"/>
    </xf>
    <xf numFmtId="174" fontId="0" fillId="0" borderId="5" xfId="0" applyNumberFormat="1" applyBorder="1" applyAlignment="1">
      <alignment horizontal="right" vertical="center"/>
    </xf>
    <xf numFmtId="174" fontId="0" fillId="0" borderId="10" xfId="0" applyNumberFormat="1" applyBorder="1" applyAlignment="1">
      <alignment horizontal="right" vertical="center"/>
    </xf>
    <xf numFmtId="174" fontId="0" fillId="0" borderId="9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5" fontId="0" fillId="0" borderId="11" xfId="0" applyNumberFormat="1" applyBorder="1" applyAlignment="1">
      <alignment horizont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72" fontId="0" fillId="0" borderId="7" xfId="0" applyNumberFormat="1" applyBorder="1" applyAlignment="1">
      <alignment horizontal="center"/>
    </xf>
    <xf numFmtId="172" fontId="0" fillId="0" borderId="5" xfId="0" applyNumberFormat="1" applyBorder="1" applyAlignment="1">
      <alignment horizontal="center"/>
    </xf>
    <xf numFmtId="182" fontId="0" fillId="0" borderId="0" xfId="0" applyNumberFormat="1" applyAlignment="1">
      <alignment horizontal="center"/>
    </xf>
  </cellXfs>
  <cellStyles count="5">
    <cellStyle name="Celda vinculada" xfId="4" builtinId="24"/>
    <cellStyle name="Normal" xfId="0" builtinId="0"/>
    <cellStyle name="Normal 2" xfId="2"/>
    <cellStyle name="Porcentaje" xfId="1" builtinId="5"/>
    <cellStyle name="Título 2" xfId="3" builtinId="1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57150</xdr:colOff>
      <xdr:row>1</xdr:row>
      <xdr:rowOff>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5905500"/>
          <a:ext cx="6667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147241</xdr:colOff>
      <xdr:row>48</xdr:row>
      <xdr:rowOff>27782</xdr:rowOff>
    </xdr:from>
    <xdr:ext cx="771525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242491" y="7914482"/>
              <a:ext cx="771525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𝐶𝐹</m:t>
                        </m:r>
                      </m:num>
                      <m:den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𝑀𝐶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242491" y="7914482"/>
              <a:ext cx="771525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𝑄=𝐶𝐹/𝑀𝐶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133350</xdr:colOff>
      <xdr:row>61</xdr:row>
      <xdr:rowOff>152400</xdr:rowOff>
    </xdr:from>
    <xdr:ext cx="1047750" cy="3524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228600" y="11477625"/>
              <a:ext cx="1047750" cy="352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𝐵𝐴𝐼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𝐵𝐷𝐼</m:t>
                        </m:r>
                      </m:num>
                      <m:den>
                        <m:d>
                          <m:d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</m:d>
                      </m:den>
                    </m:f>
                    <m:r>
                      <a:rPr lang="es-ES_tradnl" sz="1100" b="0" i="1">
                        <a:latin typeface="Cambria Math" panose="02040503050406030204" pitchFamily="18" charset="0"/>
                      </a:rPr>
                      <m:t>= </m:t>
                    </m:r>
                  </m:oMath>
                </m:oMathPara>
              </a14:m>
              <a:endParaRPr lang="es-ES_tradnl" sz="1100" b="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228600" y="11477625"/>
              <a:ext cx="1047750" cy="352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_tradnl" sz="1100" b="0" i="0">
                  <a:latin typeface="Cambria Math" panose="02040503050406030204" pitchFamily="18" charset="0"/>
                </a:rPr>
                <a:t>𝐵𝐴𝐼=𝐵𝐷𝐼/((1−𝑡) )= </a:t>
              </a:r>
              <a:endParaRPr lang="es-ES_tradnl" sz="1100" b="0"/>
            </a:p>
          </xdr:txBody>
        </xdr:sp>
      </mc:Fallback>
    </mc:AlternateContent>
    <xdr:clientData/>
  </xdr:oneCellAnchor>
  <xdr:oneCellAnchor>
    <xdr:from>
      <xdr:col>2</xdr:col>
      <xdr:colOff>0</xdr:colOff>
      <xdr:row>59</xdr:row>
      <xdr:rowOff>57150</xdr:rowOff>
    </xdr:from>
    <xdr:ext cx="131176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266700" y="11001375"/>
              <a:ext cx="131176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𝐼𝑡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𝐶𝐹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𝐶𝑉𝑡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𝐵𝐴𝐼</m:t>
                    </m:r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266700" y="11001375"/>
              <a:ext cx="131176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𝐼𝑡=𝐶𝐹+𝐶𝑉𝑡+𝐵𝐴𝐼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419100</xdr:colOff>
      <xdr:row>59</xdr:row>
      <xdr:rowOff>47625</xdr:rowOff>
    </xdr:from>
    <xdr:ext cx="134280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18"/>
            <xdr:cNvSpPr txBox="1"/>
          </xdr:nvSpPr>
          <xdr:spPr>
            <a:xfrm>
              <a:off x="1676400" y="10991850"/>
              <a:ext cx="134280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𝐼𝑡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 −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𝐶𝑉𝑡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𝐶𝐹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𝐵𝐴𝐼</m:t>
                    </m:r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9" name="CuadroTexto 18"/>
            <xdr:cNvSpPr txBox="1"/>
          </xdr:nvSpPr>
          <xdr:spPr>
            <a:xfrm>
              <a:off x="1676400" y="10991850"/>
              <a:ext cx="134280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𝐼𝑡 −𝐶𝑉𝑡=𝐶𝐹+𝐵𝐴𝐼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152400</xdr:colOff>
      <xdr:row>60</xdr:row>
      <xdr:rowOff>76200</xdr:rowOff>
    </xdr:from>
    <xdr:ext cx="249901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19"/>
            <xdr:cNvSpPr txBox="1"/>
          </xdr:nvSpPr>
          <xdr:spPr>
            <a:xfrm>
              <a:off x="247650" y="11210925"/>
              <a:ext cx="249901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𝐼𝑡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 −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𝐶𝑉𝑡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𝑃𝑢</m:t>
                        </m:r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𝐶𝑉𝑢</m:t>
                        </m:r>
                      </m:e>
                    </m:d>
                    <m:r>
                      <a:rPr lang="es-ES_tradnl" sz="1100" b="0" i="1">
                        <a:latin typeface="Cambria Math" panose="02040503050406030204" pitchFamily="18" charset="0"/>
                      </a:rPr>
                      <m:t>𝑥𝑄𝑡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𝑀𝐶𝑢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𝑄𝑇</m:t>
                    </m:r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20" name="CuadroTexto 19"/>
            <xdr:cNvSpPr txBox="1"/>
          </xdr:nvSpPr>
          <xdr:spPr>
            <a:xfrm>
              <a:off x="247650" y="11210925"/>
              <a:ext cx="249901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𝐼𝑡 −𝐶𝑉𝑡=(𝑃𝑢−𝐶𝑉𝑢)𝑥𝑄𝑡=𝑀𝐶𝑢 𝑥 𝑄𝑇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142875</xdr:colOff>
      <xdr:row>64</xdr:row>
      <xdr:rowOff>133350</xdr:rowOff>
    </xdr:from>
    <xdr:ext cx="141211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20"/>
            <xdr:cNvSpPr txBox="1"/>
          </xdr:nvSpPr>
          <xdr:spPr>
            <a:xfrm>
              <a:off x="238125" y="12030075"/>
              <a:ext cx="141211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𝑀𝐶𝑢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𝑄𝑇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𝐶𝐹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𝐵𝐴𝐼</m:t>
                    </m:r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21" name="CuadroTexto 20"/>
            <xdr:cNvSpPr txBox="1"/>
          </xdr:nvSpPr>
          <xdr:spPr>
            <a:xfrm>
              <a:off x="238125" y="12030075"/>
              <a:ext cx="141211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𝑀𝐶𝑢 𝑥 𝑄𝑇=𝐶𝐹+𝐵𝐴𝐼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628649</xdr:colOff>
      <xdr:row>64</xdr:row>
      <xdr:rowOff>38100</xdr:rowOff>
    </xdr:from>
    <xdr:ext cx="1419225" cy="3524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uadroTexto 21"/>
            <xdr:cNvSpPr txBox="1"/>
          </xdr:nvSpPr>
          <xdr:spPr>
            <a:xfrm>
              <a:off x="1885949" y="11934825"/>
              <a:ext cx="1419225" cy="352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𝑄𝑇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𝐶𝐹</m:t>
                        </m:r>
                      </m:num>
                      <m:den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𝑀𝐶𝑢</m:t>
                        </m:r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−(</m:t>
                        </m:r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𝑝𝑢</m:t>
                        </m:r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1)</m:t>
                        </m:r>
                      </m:den>
                    </m:f>
                    <m:r>
                      <a:rPr lang="es-ES_tradnl" sz="1100" b="0" i="1">
                        <a:latin typeface="Cambria Math" panose="02040503050406030204" pitchFamily="18" charset="0"/>
                      </a:rPr>
                      <m:t>= </m:t>
                    </m:r>
                  </m:oMath>
                </m:oMathPara>
              </a14:m>
              <a:endParaRPr lang="es-ES_tradnl" sz="1100" b="0"/>
            </a:p>
          </xdr:txBody>
        </xdr:sp>
      </mc:Choice>
      <mc:Fallback xmlns="">
        <xdr:sp macro="" textlink="">
          <xdr:nvSpPr>
            <xdr:cNvPr id="22" name="CuadroTexto 21"/>
            <xdr:cNvSpPr txBox="1"/>
          </xdr:nvSpPr>
          <xdr:spPr>
            <a:xfrm>
              <a:off x="1885949" y="11934825"/>
              <a:ext cx="1419225" cy="352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_tradnl" sz="1100" b="0" i="0">
                  <a:latin typeface="Cambria Math" panose="02040503050406030204" pitchFamily="18" charset="0"/>
                </a:rPr>
                <a:t>𝑄𝑇=𝐶𝐹/(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𝑀𝐶𝑢−(𝑝𝑢 𝑥 𝑡1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</a:t>
              </a:r>
              <a:r>
                <a:rPr lang="es-ES_tradnl" sz="1100" b="0" i="0">
                  <a:latin typeface="Cambria Math" panose="02040503050406030204" pitchFamily="18" charset="0"/>
                </a:rPr>
                <a:t>= </a:t>
              </a:r>
              <a:endParaRPr lang="es-ES_tradnl" sz="11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19" zoomScaleNormal="100" workbookViewId="0">
      <selection activeCell="B17" sqref="B17:G35"/>
    </sheetView>
  </sheetViews>
  <sheetFormatPr baseColWidth="10" defaultColWidth="9.140625" defaultRowHeight="15" x14ac:dyDescent="0.25"/>
  <cols>
    <col min="2" max="2" width="12.42578125" customWidth="1"/>
    <col min="3" max="3" width="11" customWidth="1"/>
    <col min="5" max="5" width="13" customWidth="1"/>
    <col min="6" max="6" width="10.85546875" customWidth="1"/>
    <col min="7" max="7" width="11.140625" bestFit="1" customWidth="1"/>
  </cols>
  <sheetData>
    <row r="1" spans="2:7" ht="15.75" thickBot="1" x14ac:dyDescent="0.3">
      <c r="B1" s="75" t="s">
        <v>31</v>
      </c>
      <c r="C1" s="75"/>
      <c r="D1" s="75"/>
      <c r="E1" s="75"/>
      <c r="F1" s="75"/>
      <c r="G1" s="75"/>
    </row>
    <row r="2" spans="2:7" ht="16.5" customHeight="1" thickTop="1" x14ac:dyDescent="0.25"/>
    <row r="3" spans="2:7" ht="18" thickBot="1" x14ac:dyDescent="0.3">
      <c r="B3" s="24" t="s">
        <v>81</v>
      </c>
      <c r="C3" s="24"/>
      <c r="D3" s="24"/>
      <c r="E3" s="24"/>
    </row>
    <row r="4" spans="2:7" ht="15.75" thickTop="1" x14ac:dyDescent="0.25">
      <c r="B4" t="s">
        <v>21</v>
      </c>
      <c r="D4" s="26">
        <v>65</v>
      </c>
    </row>
    <row r="5" spans="2:7" x14ac:dyDescent="0.25">
      <c r="B5" t="s">
        <v>25</v>
      </c>
      <c r="D5" s="21">
        <v>7</v>
      </c>
    </row>
    <row r="6" spans="2:7" x14ac:dyDescent="0.25">
      <c r="B6" t="s">
        <v>47</v>
      </c>
      <c r="D6" s="43">
        <v>0.55000000000000004</v>
      </c>
    </row>
    <row r="7" spans="2:7" ht="18" thickBot="1" x14ac:dyDescent="0.3">
      <c r="B7" s="24" t="s">
        <v>2</v>
      </c>
      <c r="C7" s="24"/>
      <c r="D7" s="24"/>
      <c r="E7" s="24"/>
    </row>
    <row r="8" spans="2:7" ht="15.75" thickTop="1" x14ac:dyDescent="0.25">
      <c r="C8" s="74" t="s">
        <v>17</v>
      </c>
      <c r="D8" s="74"/>
      <c r="E8" s="74"/>
      <c r="F8" s="74"/>
      <c r="G8" s="74"/>
    </row>
    <row r="9" spans="2:7" x14ac:dyDescent="0.25">
      <c r="C9" s="33" t="s">
        <v>1</v>
      </c>
      <c r="D9" s="33" t="s">
        <v>13</v>
      </c>
      <c r="E9" s="33" t="s">
        <v>14</v>
      </c>
      <c r="F9" s="33" t="s">
        <v>18</v>
      </c>
      <c r="G9" s="29" t="s">
        <v>0</v>
      </c>
    </row>
    <row r="10" spans="2:7" x14ac:dyDescent="0.25">
      <c r="B10" s="25" t="s">
        <v>15</v>
      </c>
      <c r="C10" s="23">
        <v>0.2</v>
      </c>
      <c r="D10" s="23">
        <v>0.45</v>
      </c>
      <c r="E10" s="23">
        <v>0.3</v>
      </c>
      <c r="F10" s="23">
        <v>0.05</v>
      </c>
      <c r="G10" s="76">
        <f>SUM(C10:F10)</f>
        <v>1</v>
      </c>
    </row>
    <row r="11" spans="2:7" x14ac:dyDescent="0.25">
      <c r="B11" s="25" t="s">
        <v>19</v>
      </c>
      <c r="C11" s="23">
        <v>0</v>
      </c>
      <c r="D11" s="23">
        <v>0.3</v>
      </c>
      <c r="E11" s="23">
        <v>0.35</v>
      </c>
      <c r="F11" s="23">
        <v>0.2</v>
      </c>
      <c r="G11" s="77"/>
    </row>
    <row r="12" spans="2:7" x14ac:dyDescent="0.25">
      <c r="B12" t="s">
        <v>20</v>
      </c>
    </row>
    <row r="13" spans="2:7" x14ac:dyDescent="0.25">
      <c r="B13" s="73" t="s">
        <v>16</v>
      </c>
      <c r="C13" s="73"/>
      <c r="D13" s="73"/>
      <c r="E13" s="18">
        <v>50</v>
      </c>
      <c r="F13" s="18"/>
      <c r="G13" s="18"/>
    </row>
    <row r="15" spans="2:7" x14ac:dyDescent="0.25">
      <c r="B15" s="73"/>
      <c r="C15" s="73"/>
      <c r="D15" s="73"/>
      <c r="E15" s="22"/>
      <c r="F15" s="10"/>
    </row>
    <row r="17" spans="2:11" ht="18" thickBot="1" x14ac:dyDescent="0.3">
      <c r="B17" s="24" t="s">
        <v>22</v>
      </c>
      <c r="C17" s="24"/>
      <c r="D17" s="24"/>
      <c r="E17" s="24"/>
    </row>
    <row r="18" spans="2:11" ht="15.75" thickTop="1" x14ac:dyDescent="0.25">
      <c r="B18" s="81" t="s">
        <v>82</v>
      </c>
      <c r="C18" s="81"/>
      <c r="D18" s="81"/>
      <c r="E18" s="81"/>
      <c r="F18" s="78">
        <v>2300</v>
      </c>
      <c r="G18" s="78"/>
    </row>
    <row r="19" spans="2:11" ht="15" customHeight="1" x14ac:dyDescent="0.25">
      <c r="B19" s="82" t="s">
        <v>23</v>
      </c>
      <c r="C19" s="82"/>
      <c r="D19" s="82"/>
      <c r="E19" s="82"/>
      <c r="F19" s="79">
        <v>1000</v>
      </c>
      <c r="G19" s="79"/>
    </row>
    <row r="20" spans="2:11" ht="15" customHeight="1" x14ac:dyDescent="0.25">
      <c r="B20" s="82" t="s">
        <v>24</v>
      </c>
      <c r="C20" s="82"/>
      <c r="D20" s="82"/>
      <c r="E20" s="82"/>
      <c r="F20" s="83">
        <v>4</v>
      </c>
      <c r="G20" s="83"/>
    </row>
    <row r="21" spans="2:11" ht="15" customHeight="1" x14ac:dyDescent="0.25">
      <c r="B21" s="82" t="s">
        <v>26</v>
      </c>
      <c r="C21" s="82"/>
      <c r="D21" s="82"/>
      <c r="E21" s="82"/>
      <c r="F21" s="83">
        <v>5</v>
      </c>
      <c r="G21" s="83"/>
    </row>
    <row r="22" spans="2:11" ht="15" customHeight="1" x14ac:dyDescent="0.25">
      <c r="B22" s="82" t="s">
        <v>27</v>
      </c>
      <c r="C22" s="82"/>
      <c r="D22" s="82"/>
      <c r="E22" s="82"/>
      <c r="F22" s="83">
        <v>6</v>
      </c>
      <c r="G22" s="83"/>
      <c r="J22" s="84"/>
      <c r="K22" s="84"/>
    </row>
    <row r="23" spans="2:11" ht="15" customHeight="1" x14ac:dyDescent="0.25">
      <c r="B23" s="80" t="s">
        <v>83</v>
      </c>
      <c r="C23" s="80"/>
      <c r="D23" s="80"/>
      <c r="E23" s="80"/>
      <c r="F23" s="80"/>
      <c r="G23" s="80"/>
      <c r="H23" s="1"/>
      <c r="I23" s="12"/>
      <c r="K23" s="12"/>
    </row>
    <row r="24" spans="2:11" x14ac:dyDescent="0.25">
      <c r="B24" s="80"/>
      <c r="C24" s="80"/>
      <c r="D24" s="80"/>
      <c r="E24" s="80"/>
      <c r="F24" s="80"/>
      <c r="G24" s="80"/>
    </row>
    <row r="25" spans="2:11" x14ac:dyDescent="0.25">
      <c r="H25" s="1"/>
    </row>
    <row r="26" spans="2:11" ht="18" thickBot="1" x14ac:dyDescent="0.3">
      <c r="B26" s="24" t="s">
        <v>28</v>
      </c>
      <c r="C26" s="24"/>
      <c r="D26" s="24"/>
      <c r="E26" s="24"/>
      <c r="H26" s="1"/>
    </row>
    <row r="27" spans="2:11" ht="15.75" thickTop="1" x14ac:dyDescent="0.25">
      <c r="B27" s="86" t="s">
        <v>29</v>
      </c>
      <c r="C27" s="86"/>
      <c r="D27" s="86"/>
      <c r="E27" s="28">
        <v>8500</v>
      </c>
      <c r="H27" s="1"/>
    </row>
    <row r="28" spans="2:11" x14ac:dyDescent="0.25">
      <c r="B28" s="87" t="s">
        <v>41</v>
      </c>
      <c r="C28" s="87"/>
      <c r="D28" s="87"/>
      <c r="E28" s="28">
        <v>2500</v>
      </c>
    </row>
    <row r="29" spans="2:11" x14ac:dyDescent="0.25">
      <c r="B29" s="87" t="s">
        <v>30</v>
      </c>
      <c r="C29" s="87"/>
      <c r="D29" s="87"/>
      <c r="E29" s="28">
        <v>1750</v>
      </c>
    </row>
    <row r="30" spans="2:11" x14ac:dyDescent="0.25">
      <c r="B30" s="87" t="s">
        <v>42</v>
      </c>
      <c r="C30" s="87"/>
      <c r="D30" s="87"/>
      <c r="E30" s="28">
        <v>5450</v>
      </c>
      <c r="I30" s="85"/>
      <c r="J30" s="85"/>
    </row>
    <row r="31" spans="2:11" ht="15" customHeight="1" x14ac:dyDescent="0.25">
      <c r="B31" s="80" t="s">
        <v>40</v>
      </c>
      <c r="C31" s="80"/>
      <c r="D31" s="80"/>
      <c r="E31" s="80"/>
      <c r="F31" s="80"/>
      <c r="G31" s="80"/>
      <c r="J31" s="14"/>
      <c r="K31" s="14"/>
    </row>
    <row r="32" spans="2:11" ht="15" customHeight="1" x14ac:dyDescent="0.25"/>
    <row r="33" spans="2:15" ht="18" thickBot="1" x14ac:dyDescent="0.3">
      <c r="B33" s="24" t="s">
        <v>52</v>
      </c>
      <c r="C33" s="24"/>
      <c r="D33" s="24"/>
      <c r="E33" s="24"/>
      <c r="G33" s="27"/>
      <c r="L33" s="1"/>
      <c r="M33" s="1"/>
      <c r="N33" s="1"/>
      <c r="O33" s="1"/>
    </row>
    <row r="34" spans="2:15" ht="15.75" thickTop="1" x14ac:dyDescent="0.25">
      <c r="B34" s="72" t="s">
        <v>65</v>
      </c>
      <c r="C34" s="72"/>
      <c r="D34" s="72"/>
      <c r="E34" s="72"/>
      <c r="F34" s="49">
        <v>7.0000000000000007E-2</v>
      </c>
      <c r="L34" s="1"/>
      <c r="M34" s="1"/>
      <c r="N34" s="1"/>
      <c r="O34" s="1"/>
    </row>
    <row r="35" spans="2:15" x14ac:dyDescent="0.25">
      <c r="B35" s="73" t="s">
        <v>53</v>
      </c>
      <c r="C35" s="73"/>
      <c r="D35" s="73"/>
      <c r="E35" s="73"/>
      <c r="F35" s="49">
        <v>0.3</v>
      </c>
      <c r="L35" s="1"/>
      <c r="M35" s="1"/>
      <c r="N35" s="1"/>
      <c r="O35" s="1"/>
    </row>
    <row r="36" spans="2:15" x14ac:dyDescent="0.25">
      <c r="L36" s="1"/>
      <c r="M36" s="1"/>
      <c r="N36" s="1"/>
      <c r="O36" s="1"/>
    </row>
    <row r="37" spans="2:15" ht="18" thickBot="1" x14ac:dyDescent="0.3">
      <c r="B37" s="24" t="s">
        <v>69</v>
      </c>
      <c r="C37" s="24"/>
      <c r="D37" s="24"/>
      <c r="E37" s="24"/>
      <c r="L37" s="1"/>
      <c r="M37" s="1"/>
      <c r="N37" s="1"/>
      <c r="O37" s="1"/>
    </row>
    <row r="38" spans="2:15" ht="15.75" thickTop="1" x14ac:dyDescent="0.25">
      <c r="B38" s="1" t="s">
        <v>70</v>
      </c>
      <c r="F38" s="64">
        <v>-0.1</v>
      </c>
      <c r="L38" s="1"/>
      <c r="M38" s="1"/>
      <c r="N38" s="1"/>
      <c r="O38" s="1"/>
    </row>
    <row r="39" spans="2:15" x14ac:dyDescent="0.25">
      <c r="B39" s="1" t="s">
        <v>71</v>
      </c>
      <c r="C39" s="39"/>
      <c r="F39" s="64">
        <v>0.65</v>
      </c>
      <c r="L39" s="1"/>
      <c r="M39" s="1"/>
      <c r="N39" s="1"/>
      <c r="O39" s="1"/>
    </row>
    <row r="40" spans="2:15" x14ac:dyDescent="0.25">
      <c r="L40" s="1"/>
      <c r="M40" s="1"/>
      <c r="N40" s="1"/>
      <c r="O40" s="1"/>
    </row>
    <row r="41" spans="2:15" x14ac:dyDescent="0.25">
      <c r="L41" s="1"/>
      <c r="M41" s="1"/>
      <c r="N41" s="1"/>
      <c r="O41" s="1"/>
    </row>
    <row r="48" spans="2:15" ht="15" customHeight="1" x14ac:dyDescent="0.25"/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</sheetData>
  <mergeCells count="25">
    <mergeCell ref="B31:G31"/>
    <mergeCell ref="J22:K22"/>
    <mergeCell ref="I30:J30"/>
    <mergeCell ref="B22:E22"/>
    <mergeCell ref="F22:G22"/>
    <mergeCell ref="B27:D27"/>
    <mergeCell ref="B28:D28"/>
    <mergeCell ref="B29:D29"/>
    <mergeCell ref="B30:D30"/>
    <mergeCell ref="B34:E34"/>
    <mergeCell ref="B35:E35"/>
    <mergeCell ref="C8:G8"/>
    <mergeCell ref="B1:G1"/>
    <mergeCell ref="G10:G11"/>
    <mergeCell ref="F18:G18"/>
    <mergeCell ref="F19:G19"/>
    <mergeCell ref="B23:G24"/>
    <mergeCell ref="B13:D13"/>
    <mergeCell ref="B15:D15"/>
    <mergeCell ref="B18:E18"/>
    <mergeCell ref="B19:E19"/>
    <mergeCell ref="B20:E20"/>
    <mergeCell ref="B21:E21"/>
    <mergeCell ref="F20:G20"/>
    <mergeCell ref="F21:G21"/>
  </mergeCells>
  <pageMargins left="0.31496062992125984" right="0.31496062992125984" top="0.15748031496062992" bottom="0.15748031496062992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topLeftCell="A70" zoomScaleNormal="100" workbookViewId="0">
      <selection activeCell="B81" sqref="B81:G98"/>
    </sheetView>
  </sheetViews>
  <sheetFormatPr baseColWidth="10" defaultRowHeight="15" x14ac:dyDescent="0.25"/>
  <cols>
    <col min="1" max="1" width="1.42578125" style="1" customWidth="1"/>
    <col min="2" max="2" width="2.5703125" style="1" customWidth="1"/>
    <col min="3" max="3" width="14.85546875" style="1" customWidth="1"/>
    <col min="4" max="4" width="19.42578125" style="1" customWidth="1"/>
    <col min="5" max="5" width="11.42578125" style="1" customWidth="1"/>
    <col min="6" max="6" width="11.28515625" style="1" customWidth="1"/>
    <col min="7" max="7" width="14" style="1" customWidth="1"/>
    <col min="8" max="8" width="10.85546875" style="1" customWidth="1"/>
    <col min="9" max="9" width="5" style="1" customWidth="1"/>
    <col min="10" max="16384" width="11.42578125" style="1"/>
  </cols>
  <sheetData>
    <row r="1" spans="1:9" ht="21" x14ac:dyDescent="0.35">
      <c r="A1" s="99" t="s">
        <v>3</v>
      </c>
      <c r="B1" s="99"/>
      <c r="C1" s="99"/>
    </row>
    <row r="3" spans="1:9" x14ac:dyDescent="0.25">
      <c r="B3" s="92" t="s">
        <v>33</v>
      </c>
      <c r="C3" s="92"/>
      <c r="D3" s="92"/>
      <c r="E3" s="92"/>
      <c r="F3" s="92"/>
      <c r="G3" s="92"/>
    </row>
    <row r="4" spans="1:9" x14ac:dyDescent="0.25">
      <c r="B4" s="92"/>
      <c r="C4" s="92"/>
      <c r="D4" s="92"/>
      <c r="E4" s="92"/>
      <c r="F4" s="92"/>
      <c r="G4" s="92"/>
    </row>
    <row r="5" spans="1:9" x14ac:dyDescent="0.25">
      <c r="B5" s="7" t="s">
        <v>4</v>
      </c>
    </row>
    <row r="6" spans="1:9" x14ac:dyDescent="0.25">
      <c r="C6" s="100" t="s">
        <v>5</v>
      </c>
      <c r="D6" s="100"/>
      <c r="E6" s="8">
        <f>Enunciado!D5</f>
        <v>7</v>
      </c>
      <c r="F6" s="105" t="s">
        <v>32</v>
      </c>
      <c r="G6" s="105"/>
      <c r="H6" s="156">
        <f>Enunciado!E13</f>
        <v>50</v>
      </c>
      <c r="I6" s="156"/>
    </row>
    <row r="7" spans="1:9" x14ac:dyDescent="0.25">
      <c r="C7" s="100" t="s">
        <v>6</v>
      </c>
      <c r="D7" s="100"/>
      <c r="E7" s="9">
        <f>E6*Enunciado!D4</f>
        <v>455</v>
      </c>
      <c r="F7" s="105" t="s">
        <v>47</v>
      </c>
      <c r="G7" s="105"/>
      <c r="H7" s="65">
        <f>Enunciado!D6</f>
        <v>0.55000000000000004</v>
      </c>
    </row>
    <row r="8" spans="1:9" x14ac:dyDescent="0.25">
      <c r="B8" s="11" t="str">
        <f>Enunciado!B7</f>
        <v>Ingresos</v>
      </c>
      <c r="D8" s="105" t="str">
        <f>Enunciado!C8</f>
        <v>Canales de comercialización</v>
      </c>
      <c r="E8" s="105"/>
      <c r="F8" s="105"/>
      <c r="G8" s="105"/>
      <c r="H8" s="105"/>
    </row>
    <row r="9" spans="1:9" x14ac:dyDescent="0.25">
      <c r="D9" s="34" t="str">
        <f>Enunciado!C9</f>
        <v>Directa</v>
      </c>
      <c r="E9" s="34" t="str">
        <f>Enunciado!D9</f>
        <v>Web</v>
      </c>
      <c r="F9" s="34" t="str">
        <f>Enunciado!E9</f>
        <v>Hoteles</v>
      </c>
      <c r="G9" s="34" t="str">
        <f>Enunciado!F9</f>
        <v>Otros</v>
      </c>
      <c r="H9" s="34" t="str">
        <f>Enunciado!G9</f>
        <v>Total</v>
      </c>
    </row>
    <row r="10" spans="1:9" x14ac:dyDescent="0.25">
      <c r="C10" s="30" t="str">
        <f>Enunciado!B10</f>
        <v>Usuarios</v>
      </c>
      <c r="D10" s="35">
        <f>Enunciado!C10</f>
        <v>0.2</v>
      </c>
      <c r="E10" s="35">
        <f>Enunciado!D10</f>
        <v>0.45</v>
      </c>
      <c r="F10" s="35">
        <f>Enunciado!E10</f>
        <v>0.3</v>
      </c>
      <c r="G10" s="35">
        <f>Enunciado!F10</f>
        <v>0.05</v>
      </c>
      <c r="H10" s="35">
        <f>SUM(D10:G10)</f>
        <v>1</v>
      </c>
    </row>
    <row r="11" spans="1:9" x14ac:dyDescent="0.25">
      <c r="C11" s="30" t="s">
        <v>9</v>
      </c>
      <c r="D11" s="35">
        <f>Enunciado!C11</f>
        <v>0</v>
      </c>
      <c r="E11" s="35">
        <f>Enunciado!D11</f>
        <v>0.3</v>
      </c>
      <c r="F11" s="35">
        <f>Enunciado!E11</f>
        <v>0.35</v>
      </c>
      <c r="G11" s="35">
        <f>Enunciado!F11</f>
        <v>0.2</v>
      </c>
    </row>
    <row r="12" spans="1:9" x14ac:dyDescent="0.25">
      <c r="C12" s="70">
        <f>Enunciado!E13</f>
        <v>50</v>
      </c>
      <c r="D12" s="100" t="s">
        <v>93</v>
      </c>
      <c r="E12" s="100"/>
      <c r="F12" s="66">
        <f>(D10*D11)+(E10*E11)+(F10*F11)+(G10*G11)</f>
        <v>0.25</v>
      </c>
      <c r="G12" s="63">
        <f>1-((D10*D11)+(E10*E11)+(F10*F11)+(G10*G11))</f>
        <v>0.75</v>
      </c>
      <c r="H12" s="156">
        <f>G12*H6</f>
        <v>37.5</v>
      </c>
      <c r="I12" s="156"/>
    </row>
    <row r="13" spans="1:9" x14ac:dyDescent="0.25">
      <c r="B13" s="92" t="s">
        <v>49</v>
      </c>
      <c r="C13" s="92"/>
      <c r="D13" s="92"/>
      <c r="E13" s="92"/>
      <c r="F13" s="92"/>
      <c r="G13" s="92"/>
    </row>
    <row r="14" spans="1:9" x14ac:dyDescent="0.25">
      <c r="B14" s="92"/>
      <c r="C14" s="92"/>
      <c r="D14" s="92"/>
      <c r="E14" s="92"/>
      <c r="F14" s="92"/>
      <c r="G14" s="92"/>
    </row>
    <row r="17" spans="2:8" ht="15" customHeight="1" x14ac:dyDescent="0.25">
      <c r="B17" s="11" t="s">
        <v>2</v>
      </c>
    </row>
    <row r="18" spans="2:8" ht="15" customHeight="1" x14ac:dyDescent="0.25">
      <c r="C18" s="87" t="s">
        <v>34</v>
      </c>
      <c r="D18" s="87"/>
      <c r="E18" s="156">
        <f>H12</f>
        <v>37.5</v>
      </c>
      <c r="F18" s="156"/>
    </row>
    <row r="19" spans="2:8" ht="15" customHeight="1" x14ac:dyDescent="0.25">
      <c r="C19" s="1" t="s">
        <v>35</v>
      </c>
      <c r="E19" s="19">
        <f>H7</f>
        <v>0.55000000000000004</v>
      </c>
      <c r="F19" s="44">
        <f>E19*E7</f>
        <v>250.25000000000003</v>
      </c>
    </row>
    <row r="20" spans="2:8" ht="15" customHeight="1" x14ac:dyDescent="0.25">
      <c r="C20" s="1" t="s">
        <v>36</v>
      </c>
      <c r="E20" s="98">
        <f>F19*E18</f>
        <v>9384.3750000000018</v>
      </c>
      <c r="F20" s="98"/>
      <c r="H20" s="10"/>
    </row>
    <row r="21" spans="2:8" ht="15" customHeight="1" x14ac:dyDescent="0.25">
      <c r="B21" s="11" t="s">
        <v>37</v>
      </c>
    </row>
    <row r="22" spans="2:8" ht="15" customHeight="1" x14ac:dyDescent="0.25">
      <c r="B22" s="11"/>
      <c r="C22" s="90" t="str">
        <f>Enunciado!B20</f>
        <v>Entradas a museos, monumentos, lugares de culto, etc</v>
      </c>
      <c r="D22" s="90"/>
      <c r="E22" s="104">
        <f>Enunciado!F20</f>
        <v>4</v>
      </c>
      <c r="F22" s="104"/>
    </row>
    <row r="23" spans="2:8" ht="15" customHeight="1" x14ac:dyDescent="0.25">
      <c r="B23" s="11"/>
      <c r="C23" s="90"/>
      <c r="D23" s="90"/>
      <c r="E23" s="103">
        <f>E22*F19</f>
        <v>1001.0000000000001</v>
      </c>
      <c r="F23" s="103"/>
    </row>
    <row r="24" spans="2:8" ht="15" customHeight="1" x14ac:dyDescent="0.25">
      <c r="B24" s="11"/>
      <c r="C24" s="90" t="str">
        <f>Enunciado!B21</f>
        <v>Seguros individuales de pasajeros, accidente, etc.</v>
      </c>
      <c r="D24" s="90"/>
      <c r="E24" s="104">
        <f>Enunciado!F21</f>
        <v>5</v>
      </c>
      <c r="F24" s="104"/>
    </row>
    <row r="25" spans="2:8" ht="15" customHeight="1" x14ac:dyDescent="0.25">
      <c r="B25" s="7"/>
      <c r="C25" s="90"/>
      <c r="D25" s="90"/>
      <c r="E25" s="103">
        <f>E24*F19</f>
        <v>1251.2500000000002</v>
      </c>
      <c r="F25" s="103"/>
      <c r="G25" s="13"/>
    </row>
    <row r="26" spans="2:8" ht="15" customHeight="1" x14ac:dyDescent="0.25">
      <c r="B26" s="7"/>
      <c r="C26" s="90" t="str">
        <f>Enunciado!B22</f>
        <v>Menú y degustaciones</v>
      </c>
      <c r="D26" s="90"/>
      <c r="E26" s="104">
        <f>Enunciado!F22</f>
        <v>6</v>
      </c>
      <c r="F26" s="104"/>
      <c r="G26" s="13"/>
    </row>
    <row r="27" spans="2:8" ht="15" customHeight="1" thickBot="1" x14ac:dyDescent="0.3">
      <c r="B27" s="7"/>
      <c r="C27" s="90"/>
      <c r="D27" s="90"/>
      <c r="E27" s="114">
        <f>E26*F19</f>
        <v>1501.5000000000002</v>
      </c>
      <c r="F27" s="114"/>
      <c r="G27" s="13"/>
    </row>
    <row r="28" spans="2:8" ht="15" customHeight="1" thickTop="1" x14ac:dyDescent="0.25">
      <c r="B28" s="7"/>
      <c r="C28" s="39"/>
      <c r="D28" s="40" t="s">
        <v>38</v>
      </c>
      <c r="E28" s="104">
        <f>E22+E24+E26</f>
        <v>15</v>
      </c>
      <c r="F28" s="104"/>
      <c r="G28" s="13"/>
    </row>
    <row r="29" spans="2:8" ht="15" customHeight="1" x14ac:dyDescent="0.25">
      <c r="B29" s="7"/>
      <c r="C29" s="31"/>
      <c r="D29" s="31"/>
      <c r="E29" s="103">
        <f>E27+E25+E23</f>
        <v>3753.7500000000005</v>
      </c>
      <c r="F29" s="103"/>
      <c r="G29" s="13"/>
    </row>
    <row r="30" spans="2:8" ht="15" customHeight="1" x14ac:dyDescent="0.25">
      <c r="B30" s="7" t="s">
        <v>39</v>
      </c>
      <c r="C30" s="31"/>
      <c r="D30" s="31"/>
      <c r="E30" s="32"/>
      <c r="F30" s="32"/>
      <c r="G30" s="13"/>
    </row>
    <row r="31" spans="2:8" ht="15" customHeight="1" x14ac:dyDescent="0.25">
      <c r="B31" s="7"/>
      <c r="C31" s="31"/>
      <c r="D31" s="31"/>
      <c r="E31" s="104">
        <f>E18-E28</f>
        <v>22.5</v>
      </c>
      <c r="F31" s="104"/>
      <c r="G31" s="13"/>
    </row>
    <row r="32" spans="2:8" ht="15" customHeight="1" x14ac:dyDescent="0.25">
      <c r="B32" s="7"/>
      <c r="C32" s="31"/>
      <c r="D32" s="31"/>
      <c r="E32" s="103">
        <f>E31*F19</f>
        <v>5630.6250000000009</v>
      </c>
      <c r="F32" s="103"/>
      <c r="G32" s="13"/>
    </row>
    <row r="33" spans="2:7" ht="15" customHeight="1" x14ac:dyDescent="0.25">
      <c r="B33" s="7" t="s">
        <v>11</v>
      </c>
      <c r="C33" s="31"/>
      <c r="D33" s="31"/>
      <c r="E33" s="32"/>
      <c r="F33" s="32"/>
      <c r="G33" s="13"/>
    </row>
    <row r="34" spans="2:7" ht="15" customHeight="1" x14ac:dyDescent="0.25">
      <c r="B34" s="7"/>
      <c r="C34" s="17" t="str">
        <f>Enunciado!B18</f>
        <v>Alquiler  autobús con chofer (7 viajes a la semana)</v>
      </c>
      <c r="D34" s="31"/>
      <c r="E34" s="101">
        <f>Enunciado!F18</f>
        <v>2300</v>
      </c>
      <c r="F34" s="101"/>
      <c r="G34" s="13"/>
    </row>
    <row r="35" spans="2:7" ht="15" customHeight="1" x14ac:dyDescent="0.25">
      <c r="B35" s="7"/>
      <c r="C35" s="17" t="str">
        <f>Enunciado!B19</f>
        <v>Guía turístico (€/quincena) (*)</v>
      </c>
      <c r="D35" s="31"/>
      <c r="E35" s="101">
        <f>Enunciado!F19/2</f>
        <v>500</v>
      </c>
      <c r="F35" s="101"/>
      <c r="G35" s="13"/>
    </row>
    <row r="36" spans="2:7" ht="15" customHeight="1" x14ac:dyDescent="0.25">
      <c r="B36" s="7"/>
      <c r="C36" s="17" t="str">
        <f>Enunciado!B27</f>
        <v>Costes de administración</v>
      </c>
      <c r="D36" s="31"/>
      <c r="E36" s="101">
        <f>Enunciado!E27/52</f>
        <v>163.46153846153845</v>
      </c>
      <c r="F36" s="101"/>
      <c r="G36" s="13"/>
    </row>
    <row r="37" spans="2:7" ht="15" customHeight="1" x14ac:dyDescent="0.25">
      <c r="B37" s="7"/>
      <c r="C37" s="17" t="str">
        <f>Enunciado!B28</f>
        <v>Presupuestos de comunicación</v>
      </c>
      <c r="D37" s="31"/>
      <c r="E37" s="101">
        <f>Enunciado!E28/52</f>
        <v>48.07692307692308</v>
      </c>
      <c r="F37" s="101"/>
      <c r="G37" s="13"/>
    </row>
    <row r="38" spans="2:7" ht="15" customHeight="1" x14ac:dyDescent="0.25">
      <c r="B38" s="7"/>
      <c r="C38" s="17" t="str">
        <f>Enunciado!B29</f>
        <v>Impuestos, licencias y similares</v>
      </c>
      <c r="D38" s="31"/>
      <c r="E38" s="101">
        <f>Enunciado!E29/52</f>
        <v>33.653846153846153</v>
      </c>
      <c r="F38" s="101"/>
      <c r="G38" s="13"/>
    </row>
    <row r="39" spans="2:7" ht="15" customHeight="1" thickBot="1" x14ac:dyDescent="0.3">
      <c r="B39" s="7"/>
      <c r="C39" s="17" t="str">
        <f>Enunciado!B30</f>
        <v>Otros costes (alquiler, luz, etc..)</v>
      </c>
      <c r="D39" s="31"/>
      <c r="E39" s="102">
        <f>Enunciado!E30/52</f>
        <v>104.80769230769231</v>
      </c>
      <c r="F39" s="102"/>
      <c r="G39" s="13"/>
    </row>
    <row r="40" spans="2:7" ht="15" customHeight="1" thickTop="1" x14ac:dyDescent="0.25">
      <c r="B40" s="7"/>
      <c r="C40" s="31"/>
      <c r="D40" s="40" t="s">
        <v>38</v>
      </c>
      <c r="E40" s="101">
        <f>SUM(E34:F39)</f>
        <v>3150</v>
      </c>
      <c r="F40" s="101"/>
      <c r="G40" s="13"/>
    </row>
    <row r="41" spans="2:7" ht="15" customHeight="1" x14ac:dyDescent="0.25">
      <c r="B41" s="7" t="s">
        <v>50</v>
      </c>
      <c r="C41" s="36"/>
      <c r="D41" s="40"/>
      <c r="E41" s="37"/>
      <c r="F41" s="37"/>
      <c r="G41" s="13"/>
    </row>
    <row r="42" spans="2:7" ht="15" customHeight="1" x14ac:dyDescent="0.25">
      <c r="B42" s="7"/>
      <c r="C42" s="96" t="s">
        <v>51</v>
      </c>
      <c r="D42" s="96"/>
      <c r="E42" s="106">
        <f>E32-E40</f>
        <v>2480.6250000000009</v>
      </c>
      <c r="F42" s="106"/>
      <c r="G42" s="13"/>
    </row>
    <row r="43" spans="2:7" ht="15" customHeight="1" x14ac:dyDescent="0.25">
      <c r="B43" s="7"/>
      <c r="C43" s="96" t="s">
        <v>85</v>
      </c>
      <c r="D43" s="96"/>
      <c r="E43" s="97">
        <f>E42/F19</f>
        <v>9.9125874125874152</v>
      </c>
      <c r="F43" s="97"/>
      <c r="G43" s="13"/>
    </row>
    <row r="44" spans="2:7" ht="15" customHeight="1" x14ac:dyDescent="0.25">
      <c r="G44" s="13"/>
    </row>
    <row r="45" spans="2:7" ht="15" customHeight="1" x14ac:dyDescent="0.25">
      <c r="B45" s="92" t="s">
        <v>48</v>
      </c>
      <c r="C45" s="92"/>
      <c r="D45" s="92"/>
      <c r="E45" s="92"/>
      <c r="F45" s="92"/>
      <c r="G45" s="92"/>
    </row>
    <row r="46" spans="2:7" ht="15" customHeight="1" x14ac:dyDescent="0.25">
      <c r="B46" s="92"/>
      <c r="C46" s="92"/>
      <c r="D46" s="92"/>
      <c r="E46" s="92"/>
      <c r="F46" s="92"/>
      <c r="G46" s="92"/>
    </row>
    <row r="47" spans="2:7" ht="15" customHeight="1" x14ac:dyDescent="0.25">
      <c r="G47" s="13"/>
    </row>
    <row r="48" spans="2:7" ht="15" customHeight="1" x14ac:dyDescent="0.25">
      <c r="B48" s="7" t="s">
        <v>43</v>
      </c>
      <c r="C48" s="31"/>
      <c r="D48" s="40"/>
      <c r="E48" s="32"/>
      <c r="F48" s="32"/>
    </row>
    <row r="49" spans="2:7" ht="15" customHeight="1" x14ac:dyDescent="0.25">
      <c r="B49" s="7"/>
      <c r="C49" s="31"/>
      <c r="D49" s="40" t="s">
        <v>44</v>
      </c>
      <c r="E49" s="112">
        <f>E40/E31</f>
        <v>140</v>
      </c>
      <c r="F49" s="112"/>
    </row>
    <row r="50" spans="2:7" x14ac:dyDescent="0.25">
      <c r="B50" s="7"/>
      <c r="C50" s="31"/>
      <c r="D50" s="1" t="s">
        <v>87</v>
      </c>
      <c r="E50" s="98">
        <f>E49*E18</f>
        <v>5250</v>
      </c>
      <c r="F50" s="98"/>
    </row>
    <row r="51" spans="2:7" x14ac:dyDescent="0.25">
      <c r="B51" s="7"/>
      <c r="C51" s="5"/>
      <c r="D51" s="40" t="s">
        <v>45</v>
      </c>
      <c r="E51" s="113">
        <f>E49/E6</f>
        <v>20</v>
      </c>
      <c r="F51" s="113"/>
    </row>
    <row r="52" spans="2:7" x14ac:dyDescent="0.25">
      <c r="B52" s="7"/>
      <c r="C52" s="5"/>
      <c r="D52" s="41" t="s">
        <v>7</v>
      </c>
      <c r="E52" s="42">
        <f>E51/Enunciado!D4</f>
        <v>0.30769230769230771</v>
      </c>
      <c r="F52" s="38" t="s">
        <v>46</v>
      </c>
    </row>
    <row r="54" spans="2:7" x14ac:dyDescent="0.25">
      <c r="B54" s="92" t="s">
        <v>54</v>
      </c>
      <c r="C54" s="92"/>
      <c r="D54" s="92"/>
      <c r="E54" s="92"/>
      <c r="F54" s="92"/>
      <c r="G54" s="92"/>
    </row>
    <row r="55" spans="2:7" x14ac:dyDescent="0.25">
      <c r="B55" s="92"/>
      <c r="C55" s="92"/>
      <c r="D55" s="92"/>
      <c r="E55" s="92"/>
      <c r="F55" s="92"/>
      <c r="G55" s="92"/>
    </row>
    <row r="57" spans="2:7" x14ac:dyDescent="0.25">
      <c r="B57" s="7" t="s">
        <v>55</v>
      </c>
    </row>
    <row r="58" spans="2:7" x14ac:dyDescent="0.25">
      <c r="C58" s="1" t="str">
        <f>Enunciado!B34</f>
        <v>Beneficio semanal sobre ingresos netos (BDI)</v>
      </c>
      <c r="F58" s="61">
        <f>Enunciado!F34</f>
        <v>7.0000000000000007E-2</v>
      </c>
      <c r="G58" s="111" t="str">
        <f>F58/(1-F59)&amp;" = t1"</f>
        <v>0,1 = t1</v>
      </c>
    </row>
    <row r="59" spans="2:7" x14ac:dyDescent="0.25">
      <c r="C59" s="1" t="str">
        <f>Enunciado!B35</f>
        <v>Tasa media impositiva sobre beneficios</v>
      </c>
      <c r="F59" s="49">
        <f>Enunciado!F35</f>
        <v>0.3</v>
      </c>
      <c r="G59" s="111"/>
    </row>
    <row r="60" spans="2:7" x14ac:dyDescent="0.25">
      <c r="F60" s="52" t="s">
        <v>57</v>
      </c>
      <c r="G60" s="50">
        <f>E31</f>
        <v>22.5</v>
      </c>
    </row>
    <row r="61" spans="2:7" x14ac:dyDescent="0.25">
      <c r="F61" s="52" t="s">
        <v>56</v>
      </c>
      <c r="G61" s="51">
        <f>E40</f>
        <v>3150</v>
      </c>
    </row>
    <row r="62" spans="2:7" x14ac:dyDescent="0.25">
      <c r="F62" s="46" t="s">
        <v>58</v>
      </c>
      <c r="G62" s="54">
        <f>E18</f>
        <v>37.5</v>
      </c>
    </row>
    <row r="63" spans="2:7" x14ac:dyDescent="0.25">
      <c r="D63" s="45" t="str">
        <f>"BDI = (I x "&amp;F58&amp;")"</f>
        <v>BDI = (I x 0,07)</v>
      </c>
      <c r="E63" s="109" t="str">
        <f>F58/(1-F59)&amp;"x I"&amp;"= BAI"</f>
        <v>0,1x I= BAI</v>
      </c>
      <c r="F63" s="110" t="str">
        <f>"BAI= "&amp;(F58/(1-F59))*E18&amp; "x QT"</f>
        <v>BAI= 3,75x QT</v>
      </c>
    </row>
    <row r="64" spans="2:7" x14ac:dyDescent="0.25">
      <c r="D64" s="45" t="str">
        <f>"(1-t) = (1 - "&amp;F59&amp;")"</f>
        <v>(1-t) = (1 - 0,3)</v>
      </c>
      <c r="E64" s="109"/>
      <c r="F64" s="110"/>
      <c r="G64" s="53"/>
    </row>
    <row r="65" spans="2:8" x14ac:dyDescent="0.25">
      <c r="H65" s="58"/>
    </row>
    <row r="66" spans="2:8" x14ac:dyDescent="0.25">
      <c r="H66" s="59"/>
    </row>
    <row r="67" spans="2:8" x14ac:dyDescent="0.25">
      <c r="D67" s="73" t="s">
        <v>89</v>
      </c>
      <c r="E67" s="73"/>
      <c r="F67" s="48" t="s">
        <v>60</v>
      </c>
      <c r="G67" s="58">
        <f>G61/(G60-(G62*(F58/(1-F59))))</f>
        <v>168</v>
      </c>
      <c r="H67" s="59"/>
    </row>
    <row r="68" spans="2:8" x14ac:dyDescent="0.25">
      <c r="D68" s="1" t="s">
        <v>88</v>
      </c>
      <c r="F68" s="47" t="s">
        <v>59</v>
      </c>
      <c r="G68" s="59">
        <f>G67*G62</f>
        <v>6300</v>
      </c>
      <c r="H68" s="59"/>
    </row>
    <row r="69" spans="2:8" x14ac:dyDescent="0.25">
      <c r="B69" s="7" t="s">
        <v>61</v>
      </c>
    </row>
    <row r="70" spans="2:8" x14ac:dyDescent="0.25">
      <c r="C70" s="87" t="s">
        <v>64</v>
      </c>
      <c r="D70" s="87"/>
      <c r="E70" s="60">
        <f>G67</f>
        <v>168</v>
      </c>
      <c r="F70" s="14"/>
    </row>
    <row r="71" spans="2:8" x14ac:dyDescent="0.25">
      <c r="C71" s="87" t="s">
        <v>62</v>
      </c>
      <c r="D71" s="87"/>
      <c r="E71" s="14">
        <f>E70*G62</f>
        <v>6300</v>
      </c>
    </row>
    <row r="72" spans="2:8" x14ac:dyDescent="0.25">
      <c r="C72" s="87" t="s">
        <v>63</v>
      </c>
      <c r="D72" s="87"/>
      <c r="E72" s="14">
        <f>E70*E28</f>
        <v>2520</v>
      </c>
    </row>
    <row r="73" spans="2:8" x14ac:dyDescent="0.25">
      <c r="C73" s="87" t="s">
        <v>12</v>
      </c>
      <c r="D73" s="87"/>
      <c r="E73" s="14">
        <f>G61</f>
        <v>3150</v>
      </c>
    </row>
    <row r="74" spans="2:8" x14ac:dyDescent="0.25">
      <c r="C74" s="87" t="s">
        <v>90</v>
      </c>
      <c r="D74" s="87"/>
      <c r="E74" s="14">
        <f>E71-E72-E73</f>
        <v>630</v>
      </c>
      <c r="F74" s="14"/>
      <c r="H74" s="14"/>
    </row>
    <row r="75" spans="2:8" x14ac:dyDescent="0.25">
      <c r="C75" s="87" t="s">
        <v>66</v>
      </c>
      <c r="D75" s="87"/>
      <c r="E75" s="14">
        <f>E74*F59</f>
        <v>189</v>
      </c>
      <c r="F75" s="14"/>
      <c r="G75" s="14"/>
    </row>
    <row r="76" spans="2:8" x14ac:dyDescent="0.25">
      <c r="C76" s="87" t="s">
        <v>91</v>
      </c>
      <c r="D76" s="87"/>
      <c r="E76" s="14">
        <f>E74-E75</f>
        <v>441</v>
      </c>
      <c r="H76" s="14"/>
    </row>
    <row r="77" spans="2:8" x14ac:dyDescent="0.25">
      <c r="C77" s="88">
        <f>ROUND(E76/E71,3)</f>
        <v>7.0000000000000007E-2</v>
      </c>
      <c r="D77" s="88"/>
      <c r="E77" s="62" t="str">
        <f>IF(F58-C77= 0,"Ok","Error")</f>
        <v>Ok</v>
      </c>
    </row>
    <row r="78" spans="2:8" ht="15" customHeight="1" x14ac:dyDescent="0.25">
      <c r="B78" s="92" t="s">
        <v>67</v>
      </c>
      <c r="C78" s="92"/>
      <c r="D78" s="92"/>
      <c r="E78" s="92"/>
      <c r="F78" s="92"/>
      <c r="G78" s="92"/>
      <c r="H78" s="92"/>
    </row>
    <row r="79" spans="2:8" ht="15" customHeight="1" x14ac:dyDescent="0.25">
      <c r="B79" s="93"/>
      <c r="C79" s="93"/>
      <c r="D79" s="93"/>
      <c r="E79" s="16"/>
      <c r="F79" s="94"/>
      <c r="G79" s="94"/>
      <c r="H79" s="15"/>
    </row>
    <row r="80" spans="2:8" ht="15" customHeight="1" x14ac:dyDescent="0.25"/>
    <row r="81" spans="2:7" ht="15" customHeight="1" x14ac:dyDescent="0.25">
      <c r="B81" s="7" t="s">
        <v>94</v>
      </c>
    </row>
    <row r="82" spans="2:7" ht="15" customHeight="1" x14ac:dyDescent="0.25">
      <c r="E82" s="55" t="s">
        <v>73</v>
      </c>
      <c r="F82" s="57" t="s">
        <v>72</v>
      </c>
      <c r="G82" s="55" t="s">
        <v>68</v>
      </c>
    </row>
    <row r="83" spans="2:7" ht="15" customHeight="1" x14ac:dyDescent="0.25">
      <c r="C83" s="108" t="str">
        <f>D12</f>
        <v>Tarifa media ponderada corregida:</v>
      </c>
      <c r="D83" s="108"/>
      <c r="E83" s="2">
        <f>H12</f>
        <v>37.5</v>
      </c>
      <c r="F83" s="49">
        <f>Enunciado!F38</f>
        <v>-0.1</v>
      </c>
      <c r="G83" s="2">
        <f>((1+F83)*H6)*G12</f>
        <v>33.75</v>
      </c>
    </row>
    <row r="84" spans="2:7" x14ac:dyDescent="0.25">
      <c r="C84" s="107" t="str">
        <f>F7</f>
        <v>Tasa de ocupación media:</v>
      </c>
      <c r="D84" s="107"/>
      <c r="E84" s="66">
        <f>H7</f>
        <v>0.55000000000000004</v>
      </c>
      <c r="F84" s="56" t="str">
        <f>IF(G84&gt;E84,"Aumenta","Baja")</f>
        <v>Aumenta</v>
      </c>
      <c r="G84" s="66">
        <f>Enunciado!F39</f>
        <v>0.65</v>
      </c>
    </row>
    <row r="85" spans="2:7" x14ac:dyDescent="0.25">
      <c r="C85" s="107"/>
      <c r="D85" s="107"/>
      <c r="E85" s="44">
        <f>E84*E7</f>
        <v>250.25000000000003</v>
      </c>
      <c r="F85" s="44">
        <f>G85-E85</f>
        <v>45.499999999999972</v>
      </c>
      <c r="G85" s="44">
        <f>G84*E7</f>
        <v>295.75</v>
      </c>
    </row>
    <row r="86" spans="2:7" ht="15" customHeight="1" x14ac:dyDescent="0.25">
      <c r="B86" s="89" t="s">
        <v>74</v>
      </c>
      <c r="C86" s="89"/>
      <c r="D86" s="89"/>
    </row>
    <row r="87" spans="2:7" x14ac:dyDescent="0.25">
      <c r="C87" s="91"/>
      <c r="D87" s="91"/>
      <c r="E87" s="95" t="s">
        <v>75</v>
      </c>
      <c r="F87" s="95" t="s">
        <v>76</v>
      </c>
      <c r="G87" s="95" t="s">
        <v>8</v>
      </c>
    </row>
    <row r="88" spans="2:7" x14ac:dyDescent="0.25">
      <c r="C88" s="91"/>
      <c r="D88" s="91"/>
      <c r="E88" s="95"/>
      <c r="F88" s="95"/>
      <c r="G88" s="95"/>
    </row>
    <row r="89" spans="2:7" x14ac:dyDescent="0.25">
      <c r="C89" s="90" t="s">
        <v>77</v>
      </c>
      <c r="D89" s="90"/>
      <c r="E89" s="2">
        <f>E83</f>
        <v>37.5</v>
      </c>
      <c r="F89" s="2">
        <f>G83</f>
        <v>33.75</v>
      </c>
    </row>
    <row r="90" spans="2:7" x14ac:dyDescent="0.25">
      <c r="C90" s="90"/>
      <c r="D90" s="90"/>
      <c r="E90" s="68">
        <f>E85</f>
        <v>250.25000000000003</v>
      </c>
      <c r="F90" s="68">
        <f>E85</f>
        <v>250.25000000000003</v>
      </c>
    </row>
    <row r="91" spans="2:7" x14ac:dyDescent="0.25">
      <c r="C91" s="90"/>
      <c r="D91" s="90"/>
      <c r="E91" s="69">
        <f>E90*E89</f>
        <v>9384.3750000000018</v>
      </c>
      <c r="F91" s="69">
        <f>F90*F89</f>
        <v>8445.9375000000018</v>
      </c>
      <c r="G91" s="69">
        <f>F91-E91</f>
        <v>-938.4375</v>
      </c>
    </row>
    <row r="92" spans="2:7" x14ac:dyDescent="0.25">
      <c r="C92" s="87" t="s">
        <v>78</v>
      </c>
      <c r="D92" s="87"/>
      <c r="E92" s="2">
        <f>E83</f>
        <v>37.5</v>
      </c>
      <c r="F92" s="2">
        <f>E83</f>
        <v>37.5</v>
      </c>
    </row>
    <row r="93" spans="2:7" x14ac:dyDescent="0.25">
      <c r="C93" s="87"/>
      <c r="D93" s="87"/>
      <c r="E93" s="67">
        <f>E90</f>
        <v>250.25000000000003</v>
      </c>
      <c r="F93" s="67">
        <f>G85</f>
        <v>295.75</v>
      </c>
    </row>
    <row r="94" spans="2:7" x14ac:dyDescent="0.25">
      <c r="C94" s="87"/>
      <c r="D94" s="87"/>
      <c r="E94" s="69">
        <f>E93*E92</f>
        <v>9384.3750000000018</v>
      </c>
      <c r="F94" s="69">
        <f>F93*F92</f>
        <v>11090.625</v>
      </c>
      <c r="G94" s="69">
        <f>F94-E94</f>
        <v>1706.2499999999982</v>
      </c>
    </row>
    <row r="95" spans="2:7" x14ac:dyDescent="0.25">
      <c r="D95" s="115" t="s">
        <v>79</v>
      </c>
      <c r="E95" s="115"/>
      <c r="F95" s="115"/>
      <c r="G95" s="69">
        <f>G91+G94</f>
        <v>767.81249999999818</v>
      </c>
    </row>
    <row r="96" spans="2:7" x14ac:dyDescent="0.25">
      <c r="B96" s="117" t="s">
        <v>92</v>
      </c>
      <c r="C96" s="117"/>
      <c r="D96" s="117"/>
      <c r="E96" s="117"/>
      <c r="F96" s="117"/>
      <c r="G96" s="69">
        <f>F85*E28</f>
        <v>682.49999999999955</v>
      </c>
    </row>
    <row r="97" spans="2:7" x14ac:dyDescent="0.25">
      <c r="B97" s="117" t="s">
        <v>80</v>
      </c>
      <c r="C97" s="117"/>
      <c r="D97" s="117"/>
      <c r="E97" s="117"/>
      <c r="F97" s="117"/>
      <c r="G97" s="69">
        <v>0</v>
      </c>
    </row>
    <row r="98" spans="2:7" x14ac:dyDescent="0.25">
      <c r="B98" s="116" t="s">
        <v>10</v>
      </c>
      <c r="C98" s="116"/>
      <c r="D98" s="116"/>
      <c r="E98" s="116"/>
      <c r="F98" s="116"/>
      <c r="G98" s="69">
        <f>G95-G96+G97</f>
        <v>85.312499999998636</v>
      </c>
    </row>
  </sheetData>
  <mergeCells count="71">
    <mergeCell ref="H12:I12"/>
    <mergeCell ref="H6:I6"/>
    <mergeCell ref="D95:F95"/>
    <mergeCell ref="B98:F98"/>
    <mergeCell ref="C92:D94"/>
    <mergeCell ref="B96:F96"/>
    <mergeCell ref="B97:F97"/>
    <mergeCell ref="B13:G14"/>
    <mergeCell ref="C18:D18"/>
    <mergeCell ref="F7:G7"/>
    <mergeCell ref="C84:D85"/>
    <mergeCell ref="C83:D83"/>
    <mergeCell ref="E63:E64"/>
    <mergeCell ref="F63:F64"/>
    <mergeCell ref="G58:G59"/>
    <mergeCell ref="E49:F49"/>
    <mergeCell ref="E51:F51"/>
    <mergeCell ref="B54:G55"/>
    <mergeCell ref="B45:G46"/>
    <mergeCell ref="E20:F20"/>
    <mergeCell ref="C26:D27"/>
    <mergeCell ref="E26:F26"/>
    <mergeCell ref="E27:F27"/>
    <mergeCell ref="C42:D42"/>
    <mergeCell ref="E42:F42"/>
    <mergeCell ref="C22:D23"/>
    <mergeCell ref="E22:F22"/>
    <mergeCell ref="E23:F23"/>
    <mergeCell ref="C24:D25"/>
    <mergeCell ref="E24:F24"/>
    <mergeCell ref="E25:F25"/>
    <mergeCell ref="E34:F34"/>
    <mergeCell ref="E31:F31"/>
    <mergeCell ref="E32:F32"/>
    <mergeCell ref="A1:C1"/>
    <mergeCell ref="B3:G4"/>
    <mergeCell ref="C6:D6"/>
    <mergeCell ref="C7:D7"/>
    <mergeCell ref="E40:F40"/>
    <mergeCell ref="E35:F35"/>
    <mergeCell ref="E36:F36"/>
    <mergeCell ref="E37:F37"/>
    <mergeCell ref="E38:F38"/>
    <mergeCell ref="E39:F39"/>
    <mergeCell ref="E29:F29"/>
    <mergeCell ref="E28:F28"/>
    <mergeCell ref="F6:G6"/>
    <mergeCell ref="E18:F18"/>
    <mergeCell ref="D8:H8"/>
    <mergeCell ref="D12:E12"/>
    <mergeCell ref="C43:D43"/>
    <mergeCell ref="E43:F43"/>
    <mergeCell ref="E50:F50"/>
    <mergeCell ref="D67:E67"/>
    <mergeCell ref="C70:D70"/>
    <mergeCell ref="C71:D71"/>
    <mergeCell ref="C72:D72"/>
    <mergeCell ref="C73:D73"/>
    <mergeCell ref="C74:D74"/>
    <mergeCell ref="C75:D75"/>
    <mergeCell ref="C76:D76"/>
    <mergeCell ref="C77:D77"/>
    <mergeCell ref="B86:D86"/>
    <mergeCell ref="C89:D91"/>
    <mergeCell ref="C87:D88"/>
    <mergeCell ref="B78:H78"/>
    <mergeCell ref="B79:D79"/>
    <mergeCell ref="F79:G79"/>
    <mergeCell ref="E87:E88"/>
    <mergeCell ref="F87:F88"/>
    <mergeCell ref="G87:G88"/>
  </mergeCells>
  <pageMargins left="0.31496062992125984" right="0.31496062992125984" top="0.35433070866141736" bottom="0.35433070866141736" header="0.31496062992125984" footer="0.31496062992125984"/>
  <pageSetup paperSize="9" orientation="portrait" r:id="rId1"/>
  <ignoredErrors>
    <ignoredError sqref="E5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8"/>
  <sheetViews>
    <sheetView topLeftCell="A11" workbookViewId="0">
      <selection activeCell="B3" sqref="B3:F30"/>
    </sheetView>
  </sheetViews>
  <sheetFormatPr baseColWidth="10" defaultRowHeight="15" x14ac:dyDescent="0.25"/>
  <cols>
    <col min="2" max="2" width="5.7109375" customWidth="1"/>
    <col min="4" max="4" width="20.85546875" customWidth="1"/>
    <col min="9" max="9" width="18.7109375" customWidth="1"/>
  </cols>
  <sheetData>
    <row r="3" spans="2:6" ht="15.75" x14ac:dyDescent="0.25">
      <c r="B3" s="123" t="s">
        <v>2</v>
      </c>
      <c r="C3" s="123"/>
      <c r="D3" s="123"/>
      <c r="E3" s="123"/>
      <c r="F3" s="123"/>
    </row>
    <row r="4" spans="2:6" x14ac:dyDescent="0.25">
      <c r="B4" s="122"/>
      <c r="C4" s="142" t="s">
        <v>34</v>
      </c>
      <c r="D4" s="143"/>
      <c r="E4" s="152">
        <f>Soluci!H12</f>
        <v>37.5</v>
      </c>
      <c r="F4" s="153"/>
    </row>
    <row r="5" spans="2:6" x14ac:dyDescent="0.25">
      <c r="B5" s="122"/>
      <c r="C5" s="144" t="s">
        <v>84</v>
      </c>
      <c r="D5" s="145"/>
      <c r="E5" s="140">
        <v>134.75</v>
      </c>
      <c r="F5" s="141"/>
    </row>
    <row r="6" spans="2:6" x14ac:dyDescent="0.25">
      <c r="B6" s="122"/>
      <c r="C6" s="146" t="s">
        <v>36</v>
      </c>
      <c r="D6" s="147"/>
      <c r="E6" s="154">
        <f>Soluci!E20</f>
        <v>9384.3750000000018</v>
      </c>
      <c r="F6" s="155"/>
    </row>
    <row r="7" spans="2:6" ht="15.75" x14ac:dyDescent="0.25">
      <c r="B7" s="123" t="s">
        <v>37</v>
      </c>
      <c r="C7" s="123"/>
      <c r="D7" s="123"/>
      <c r="E7" s="123"/>
      <c r="F7" s="123"/>
    </row>
    <row r="8" spans="2:6" x14ac:dyDescent="0.25">
      <c r="B8" s="122"/>
      <c r="C8" s="130" t="s">
        <v>24</v>
      </c>
      <c r="D8" s="131"/>
      <c r="E8" s="150">
        <v>4</v>
      </c>
      <c r="F8" s="151"/>
    </row>
    <row r="9" spans="2:6" x14ac:dyDescent="0.25">
      <c r="B9" s="122"/>
      <c r="C9" s="124"/>
      <c r="D9" s="125"/>
      <c r="E9" s="103">
        <f>E8*Soluci!$F$19</f>
        <v>1001.0000000000001</v>
      </c>
      <c r="F9" s="148"/>
    </row>
    <row r="10" spans="2:6" x14ac:dyDescent="0.25">
      <c r="B10" s="122"/>
      <c r="C10" s="124" t="s">
        <v>26</v>
      </c>
      <c r="D10" s="125"/>
      <c r="E10" s="104">
        <v>5</v>
      </c>
      <c r="F10" s="149"/>
    </row>
    <row r="11" spans="2:6" x14ac:dyDescent="0.25">
      <c r="B11" s="122"/>
      <c r="C11" s="124"/>
      <c r="D11" s="125"/>
      <c r="E11" s="103">
        <f>E10*Soluci!$F$19</f>
        <v>1251.2500000000002</v>
      </c>
      <c r="F11" s="148"/>
    </row>
    <row r="12" spans="2:6" ht="15" customHeight="1" x14ac:dyDescent="0.25">
      <c r="B12" s="122"/>
      <c r="C12" s="124" t="s">
        <v>27</v>
      </c>
      <c r="D12" s="125"/>
      <c r="E12" s="104">
        <v>6</v>
      </c>
      <c r="F12" s="149"/>
    </row>
    <row r="13" spans="2:6" x14ac:dyDescent="0.25">
      <c r="B13" s="122"/>
      <c r="C13" s="124"/>
      <c r="D13" s="125"/>
      <c r="E13" s="103">
        <f>E12*Soluci!$F$19</f>
        <v>1501.5000000000002</v>
      </c>
      <c r="F13" s="148"/>
    </row>
    <row r="14" spans="2:6" x14ac:dyDescent="0.25">
      <c r="B14" s="122"/>
      <c r="C14" s="126" t="s">
        <v>38</v>
      </c>
      <c r="D14" s="127"/>
      <c r="E14" s="104">
        <v>15</v>
      </c>
      <c r="F14" s="149"/>
    </row>
    <row r="15" spans="2:6" x14ac:dyDescent="0.25">
      <c r="B15" s="122"/>
      <c r="C15" s="128"/>
      <c r="D15" s="129"/>
      <c r="E15" s="103">
        <f>E14*Soluci!$F$19</f>
        <v>3753.7500000000005</v>
      </c>
      <c r="F15" s="148"/>
    </row>
    <row r="16" spans="2:6" ht="15.75" x14ac:dyDescent="0.25">
      <c r="B16" s="123" t="s">
        <v>39</v>
      </c>
      <c r="C16" s="123"/>
      <c r="D16" s="123"/>
      <c r="E16" s="123"/>
      <c r="F16" s="123"/>
    </row>
    <row r="17" spans="2:6" x14ac:dyDescent="0.25">
      <c r="B17" s="122"/>
      <c r="C17" s="20"/>
      <c r="D17" s="3"/>
      <c r="E17" s="150">
        <f>E4-E14</f>
        <v>22.5</v>
      </c>
      <c r="F17" s="151"/>
    </row>
    <row r="18" spans="2:6" x14ac:dyDescent="0.25">
      <c r="B18" s="122"/>
      <c r="C18" s="4"/>
      <c r="D18" s="6"/>
      <c r="E18" s="136">
        <f>E6-E15</f>
        <v>5630.6250000000018</v>
      </c>
      <c r="F18" s="137"/>
    </row>
    <row r="19" spans="2:6" ht="15.75" x14ac:dyDescent="0.25">
      <c r="B19" s="123" t="s">
        <v>11</v>
      </c>
      <c r="C19" s="123"/>
      <c r="D19" s="123"/>
      <c r="E19" s="123"/>
      <c r="F19" s="123"/>
    </row>
    <row r="20" spans="2:6" x14ac:dyDescent="0.25">
      <c r="B20" s="122"/>
      <c r="C20" s="130" t="s">
        <v>82</v>
      </c>
      <c r="D20" s="131"/>
      <c r="E20" s="132">
        <f>Enunciado!F18</f>
        <v>2300</v>
      </c>
      <c r="F20" s="133"/>
    </row>
    <row r="21" spans="2:6" x14ac:dyDescent="0.25">
      <c r="B21" s="122"/>
      <c r="C21" s="124"/>
      <c r="D21" s="125"/>
      <c r="E21" s="101"/>
      <c r="F21" s="134"/>
    </row>
    <row r="22" spans="2:6" x14ac:dyDescent="0.25">
      <c r="B22" s="122"/>
      <c r="C22" s="124" t="s">
        <v>23</v>
      </c>
      <c r="D22" s="125"/>
      <c r="E22" s="101">
        <v>500</v>
      </c>
      <c r="F22" s="134"/>
    </row>
    <row r="23" spans="2:6" x14ac:dyDescent="0.25">
      <c r="B23" s="122"/>
      <c r="C23" s="124" t="s">
        <v>29</v>
      </c>
      <c r="D23" s="125"/>
      <c r="E23" s="101">
        <v>163.46153846153845</v>
      </c>
      <c r="F23" s="134"/>
    </row>
    <row r="24" spans="2:6" x14ac:dyDescent="0.25">
      <c r="B24" s="122"/>
      <c r="C24" s="124" t="s">
        <v>41</v>
      </c>
      <c r="D24" s="125"/>
      <c r="E24" s="101">
        <v>48.07692307692308</v>
      </c>
      <c r="F24" s="134"/>
    </row>
    <row r="25" spans="2:6" x14ac:dyDescent="0.25">
      <c r="B25" s="122"/>
      <c r="C25" s="124" t="s">
        <v>30</v>
      </c>
      <c r="D25" s="125"/>
      <c r="E25" s="101">
        <v>33.653846153846153</v>
      </c>
      <c r="F25" s="134"/>
    </row>
    <row r="26" spans="2:6" ht="15.75" thickBot="1" x14ac:dyDescent="0.3">
      <c r="B26" s="122"/>
      <c r="C26" s="124" t="s">
        <v>42</v>
      </c>
      <c r="D26" s="125"/>
      <c r="E26" s="102">
        <v>104.80769230769231</v>
      </c>
      <c r="F26" s="135"/>
    </row>
    <row r="27" spans="2:6" ht="15.75" thickTop="1" x14ac:dyDescent="0.25">
      <c r="B27" s="122"/>
      <c r="C27" s="4"/>
      <c r="D27" s="71" t="s">
        <v>38</v>
      </c>
      <c r="E27" s="136">
        <f>E20+E22+E23+E24+E25+E26</f>
        <v>3150</v>
      </c>
      <c r="F27" s="137"/>
    </row>
    <row r="28" spans="2:6" ht="15.75" x14ac:dyDescent="0.25">
      <c r="B28" s="123" t="s">
        <v>50</v>
      </c>
      <c r="C28" s="123"/>
      <c r="D28" s="123"/>
      <c r="E28" s="123"/>
      <c r="F28" s="123"/>
    </row>
    <row r="29" spans="2:6" x14ac:dyDescent="0.25">
      <c r="C29" s="120" t="s">
        <v>51</v>
      </c>
      <c r="D29" s="121"/>
      <c r="E29" s="138">
        <f>E18-E27</f>
        <v>2480.6250000000018</v>
      </c>
      <c r="F29" s="139"/>
    </row>
    <row r="30" spans="2:6" ht="15" customHeight="1" x14ac:dyDescent="0.25">
      <c r="B30" s="1"/>
      <c r="C30" s="120" t="s">
        <v>86</v>
      </c>
      <c r="D30" s="121"/>
      <c r="E30" s="118">
        <f>E29/Soluci!F19</f>
        <v>9.9125874125874187</v>
      </c>
      <c r="F30" s="119"/>
    </row>
    <row r="34" spans="6:11" x14ac:dyDescent="0.25">
      <c r="I34" t="s">
        <v>44</v>
      </c>
      <c r="J34">
        <v>88.333333333333329</v>
      </c>
    </row>
    <row r="35" spans="6:11" x14ac:dyDescent="0.25">
      <c r="I35" t="s">
        <v>45</v>
      </c>
      <c r="J35">
        <v>12.619047619047619</v>
      </c>
    </row>
    <row r="36" spans="6:11" x14ac:dyDescent="0.25">
      <c r="I36" t="s">
        <v>7</v>
      </c>
      <c r="J36">
        <v>0.65553494124922695</v>
      </c>
      <c r="K36" t="s">
        <v>46</v>
      </c>
    </row>
    <row r="38" spans="6:11" x14ac:dyDescent="0.25">
      <c r="F38" s="7"/>
    </row>
  </sheetData>
  <mergeCells count="46">
    <mergeCell ref="E14:F14"/>
    <mergeCell ref="E15:F15"/>
    <mergeCell ref="E17:F17"/>
    <mergeCell ref="B3:F3"/>
    <mergeCell ref="E4:F4"/>
    <mergeCell ref="E6:F6"/>
    <mergeCell ref="E8:F8"/>
    <mergeCell ref="E9:F9"/>
    <mergeCell ref="E10:F10"/>
    <mergeCell ref="E29:F29"/>
    <mergeCell ref="E5:F5"/>
    <mergeCell ref="B7:F7"/>
    <mergeCell ref="C4:D4"/>
    <mergeCell ref="C5:D5"/>
    <mergeCell ref="C6:D6"/>
    <mergeCell ref="C8:D9"/>
    <mergeCell ref="C10:D11"/>
    <mergeCell ref="E18:F18"/>
    <mergeCell ref="E22:F22"/>
    <mergeCell ref="E23:F23"/>
    <mergeCell ref="E24:F24"/>
    <mergeCell ref="E25:F25"/>
    <mergeCell ref="E11:F11"/>
    <mergeCell ref="E12:F12"/>
    <mergeCell ref="E13:F13"/>
    <mergeCell ref="B19:F19"/>
    <mergeCell ref="C20:D21"/>
    <mergeCell ref="E20:F21"/>
    <mergeCell ref="E26:F26"/>
    <mergeCell ref="E27:F27"/>
    <mergeCell ref="E30:F30"/>
    <mergeCell ref="C29:D29"/>
    <mergeCell ref="B8:B15"/>
    <mergeCell ref="B4:B6"/>
    <mergeCell ref="B17:B18"/>
    <mergeCell ref="B20:B27"/>
    <mergeCell ref="C30:D30"/>
    <mergeCell ref="B28:F28"/>
    <mergeCell ref="C22:D22"/>
    <mergeCell ref="C23:D23"/>
    <mergeCell ref="C24:D24"/>
    <mergeCell ref="C25:D25"/>
    <mergeCell ref="C26:D26"/>
    <mergeCell ref="C12:D13"/>
    <mergeCell ref="C14:D15"/>
    <mergeCell ref="B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Enunciado</vt:lpstr>
      <vt:lpstr>Soluci</vt:lpstr>
      <vt:lpstr>Formatos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2015-01-27T13:04:12Z</dcterms:modified>
</cp:coreProperties>
</file>