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070" windowHeight="15870" tabRatio="532" activeTab="1"/>
  </bookViews>
  <sheets>
    <sheet name="Enunciado" sheetId="5" r:id="rId1"/>
    <sheet name="Solucion " sheetId="6" r:id="rId2"/>
  </sheets>
  <calcPr calcId="152511"/>
</workbook>
</file>

<file path=xl/calcChain.xml><?xml version="1.0" encoding="utf-8"?>
<calcChain xmlns="http://schemas.openxmlformats.org/spreadsheetml/2006/main">
  <c r="L55" i="6" l="1"/>
  <c r="C76" i="6" l="1"/>
  <c r="F58" i="6"/>
  <c r="F59" i="6"/>
  <c r="C92" i="6" l="1"/>
  <c r="C91" i="6"/>
  <c r="D77" i="6"/>
  <c r="A60" i="6" l="1"/>
  <c r="A59" i="6" l="1"/>
  <c r="A58" i="6"/>
  <c r="C56" i="6"/>
  <c r="D47" i="6" l="1"/>
  <c r="C47" i="6"/>
  <c r="C57" i="6" s="1"/>
  <c r="P60" i="6" s="1"/>
  <c r="D37" i="6"/>
  <c r="D57" i="6" s="1"/>
  <c r="C37" i="6"/>
  <c r="D27" i="6"/>
  <c r="C27" i="6"/>
  <c r="A68" i="6" l="1"/>
  <c r="Q59" i="6"/>
  <c r="A69" i="6"/>
  <c r="R59" i="6"/>
  <c r="P61" i="6"/>
  <c r="G15" i="6"/>
  <c r="H14" i="6"/>
  <c r="F15" i="6"/>
  <c r="F57" i="6" s="1"/>
  <c r="F14" i="6"/>
  <c r="F56" i="6" s="1"/>
  <c r="C18" i="6" l="1"/>
  <c r="C5" i="6"/>
  <c r="C10" i="6"/>
  <c r="D10" i="6"/>
  <c r="C6" i="6"/>
  <c r="A10" i="6"/>
  <c r="A8" i="6"/>
  <c r="A7" i="6"/>
  <c r="D7" i="5"/>
  <c r="K14" i="6" l="1"/>
  <c r="K17" i="6"/>
  <c r="K16" i="6"/>
  <c r="K15" i="6"/>
  <c r="D20" i="6"/>
  <c r="D58" i="6" s="1"/>
  <c r="C20" i="6"/>
  <c r="C58" i="6" s="1"/>
  <c r="C19" i="6"/>
  <c r="C59" i="6" s="1"/>
  <c r="D15" i="6"/>
  <c r="C15" i="6"/>
  <c r="D14" i="6"/>
  <c r="C14" i="6"/>
  <c r="D9" i="6"/>
  <c r="D13" i="6" s="1"/>
  <c r="C9" i="6"/>
  <c r="C13" i="6" s="1"/>
  <c r="C7" i="6"/>
  <c r="A43" i="6"/>
  <c r="F22" i="5"/>
  <c r="F21" i="5"/>
  <c r="D8" i="5"/>
  <c r="C8" i="6" s="1"/>
  <c r="E17" i="5"/>
  <c r="D17" i="5"/>
  <c r="E13" i="5"/>
  <c r="D13" i="5"/>
  <c r="U61" i="6" l="1"/>
  <c r="U60" i="6"/>
  <c r="A41" i="6"/>
  <c r="G13" i="6"/>
  <c r="G55" i="6" s="1"/>
  <c r="H13" i="6"/>
  <c r="H55" i="6" s="1"/>
  <c r="D49" i="6"/>
  <c r="E11" i="5"/>
  <c r="D11" i="6" s="1"/>
  <c r="C108" i="6" s="1"/>
  <c r="D11" i="5"/>
  <c r="D17" i="6"/>
  <c r="B92" i="6" s="1"/>
  <c r="B100" i="6" s="1"/>
  <c r="C100" i="6" s="1"/>
  <c r="C17" i="6"/>
  <c r="C109" i="6" l="1"/>
  <c r="H59" i="6"/>
  <c r="B91" i="6"/>
  <c r="B98" i="6" s="1"/>
  <c r="C98" i="6" s="1"/>
  <c r="C28" i="6"/>
  <c r="D24" i="5" s="1"/>
  <c r="B94" i="6"/>
  <c r="D94" i="6"/>
  <c r="D43" i="6"/>
  <c r="D44" i="6" s="1"/>
  <c r="D91" i="6"/>
  <c r="D92" i="6"/>
  <c r="C65" i="6"/>
  <c r="C60" i="6"/>
  <c r="C62" i="6" s="1"/>
  <c r="D60" i="6"/>
  <c r="D62" i="6" s="1"/>
  <c r="D65" i="6"/>
  <c r="C63" i="6"/>
  <c r="C68" i="6" s="1"/>
  <c r="Q60" i="6" s="1"/>
  <c r="D63" i="6"/>
  <c r="D69" i="6" s="1"/>
  <c r="R61" i="6" s="1"/>
  <c r="C49" i="6"/>
  <c r="C39" i="6"/>
  <c r="D39" i="6"/>
  <c r="D28" i="6"/>
  <c r="E24" i="5" s="1"/>
  <c r="C11" i="6"/>
  <c r="G11" i="5"/>
  <c r="I15" i="5"/>
  <c r="I13" i="5"/>
  <c r="B99" i="6" l="1"/>
  <c r="H17" i="6"/>
  <c r="C41" i="6"/>
  <c r="G16" i="6" s="1"/>
  <c r="C104" i="6"/>
  <c r="B101" i="6"/>
  <c r="B104" i="6"/>
  <c r="D98" i="6"/>
  <c r="D100" i="6"/>
  <c r="B108" i="6"/>
  <c r="D30" i="6"/>
  <c r="C31" i="6"/>
  <c r="D29" i="6"/>
  <c r="C43" i="6"/>
  <c r="G17" i="6" s="1"/>
  <c r="D33" i="6"/>
  <c r="D31" i="6"/>
  <c r="C30" i="6"/>
  <c r="C29" i="6"/>
  <c r="C32" i="6"/>
  <c r="I18" i="5"/>
  <c r="G56" i="6" l="1"/>
  <c r="B107" i="6"/>
  <c r="G58" i="6"/>
  <c r="C105" i="6"/>
  <c r="D104" i="6"/>
  <c r="C107" i="6" s="1"/>
  <c r="D107" i="6" s="1"/>
  <c r="D108" i="6"/>
  <c r="H57" i="6"/>
  <c r="B111" i="6"/>
  <c r="C44" i="6"/>
  <c r="D41" i="6"/>
  <c r="C42" i="6"/>
  <c r="E100" i="6"/>
  <c r="E98" i="6"/>
  <c r="G14" i="6"/>
  <c r="I14" i="6" s="1"/>
  <c r="D68" i="6"/>
  <c r="R60" i="6" s="1"/>
  <c r="H15" i="6"/>
  <c r="J15" i="6" s="1"/>
  <c r="C69" i="6"/>
  <c r="Q61" i="6" s="1"/>
  <c r="J17" i="6"/>
  <c r="I17" i="6"/>
  <c r="J58" i="6" l="1"/>
  <c r="I58" i="6"/>
  <c r="K58" i="6" s="1"/>
  <c r="L58" i="6" s="1"/>
  <c r="M58" i="6" s="1"/>
  <c r="N58" i="6" s="1"/>
  <c r="H58" i="6"/>
  <c r="D105" i="6"/>
  <c r="E107" i="6" s="1"/>
  <c r="J56" i="6"/>
  <c r="I56" i="6"/>
  <c r="K56" i="6" s="1"/>
  <c r="L56" i="6" s="1"/>
  <c r="M56" i="6" s="1"/>
  <c r="N56" i="6" s="1"/>
  <c r="J57" i="6"/>
  <c r="I57" i="6"/>
  <c r="D109" i="6"/>
  <c r="G59" i="6"/>
  <c r="C111" i="6"/>
  <c r="D111" i="6" s="1"/>
  <c r="D42" i="6"/>
  <c r="H16" i="6"/>
  <c r="T60" i="6"/>
  <c r="S60" i="6"/>
  <c r="T61" i="6"/>
  <c r="S61" i="6"/>
  <c r="I15" i="6"/>
  <c r="L15" i="6" s="1"/>
  <c r="J14" i="6"/>
  <c r="L14" i="6" s="1"/>
  <c r="L17" i="6"/>
  <c r="K57" i="6" l="1"/>
  <c r="L57" i="6" s="1"/>
  <c r="M57" i="6" s="1"/>
  <c r="N57" i="6" s="1"/>
  <c r="I59" i="6"/>
  <c r="J59" i="6"/>
  <c r="E111" i="6"/>
  <c r="I16" i="6"/>
  <c r="J16" i="6"/>
  <c r="V61" i="6"/>
  <c r="V60" i="6"/>
  <c r="K59" i="6" l="1"/>
  <c r="L59" i="6" s="1"/>
  <c r="M59" i="6" s="1"/>
  <c r="N59" i="6" s="1"/>
  <c r="L16" i="6"/>
</calcChain>
</file>

<file path=xl/sharedStrings.xml><?xml version="1.0" encoding="utf-8"?>
<sst xmlns="http://schemas.openxmlformats.org/spreadsheetml/2006/main" count="112" uniqueCount="81">
  <si>
    <t>Ingresos Totales</t>
  </si>
  <si>
    <t>Costes Variables Totales</t>
  </si>
  <si>
    <t>Costes fijos del periodo</t>
  </si>
  <si>
    <t>Demanda máxima estimada</t>
  </si>
  <si>
    <t>Punto de Equilibrio</t>
  </si>
  <si>
    <t>Beneficio</t>
  </si>
  <si>
    <t>Costes FiJos</t>
  </si>
  <si>
    <t>Sustitución 1</t>
  </si>
  <si>
    <t>Sustitución 2</t>
  </si>
  <si>
    <t>Punto muerto, ratio de sustitución y de margen de contribución</t>
  </si>
  <si>
    <t>Ratio de margen de contribución</t>
  </si>
  <si>
    <t>Cuestión 2. Combinación de productos del punto muerto con costes fijos propios y comunes</t>
  </si>
  <si>
    <t>Costes fijos comunes</t>
  </si>
  <si>
    <t>Costes fijos propios</t>
  </si>
  <si>
    <t>Combinaciones de producto en el punto muerto</t>
  </si>
  <si>
    <t>Cuestión 3. Alcanzar beneficio objetivo sobre ventas</t>
  </si>
  <si>
    <t>BDI, BAII, tasa impositiva</t>
  </si>
  <si>
    <t xml:space="preserve"> t=</t>
  </si>
  <si>
    <t>BAI =</t>
  </si>
  <si>
    <t>BAI</t>
  </si>
  <si>
    <t>BDII</t>
  </si>
  <si>
    <t>Unds/Ingresos</t>
  </si>
  <si>
    <t>Objetivo:</t>
  </si>
  <si>
    <t>Ratios de sustitución teniendo en cuenta el objetivo de beneficio</t>
  </si>
  <si>
    <t>Margen de contribución adaptado al objetivo</t>
  </si>
  <si>
    <t>Producto</t>
  </si>
  <si>
    <t>Demanda Max</t>
  </si>
  <si>
    <t>Cumplir objetivo</t>
  </si>
  <si>
    <t>Sustituto</t>
  </si>
  <si>
    <t>Total Camas</t>
  </si>
  <si>
    <t>Enunciado</t>
  </si>
  <si>
    <t>Hotel Guía</t>
  </si>
  <si>
    <t>M.P</t>
  </si>
  <si>
    <t>T.I</t>
  </si>
  <si>
    <t>Margen de contribución unitario</t>
  </si>
  <si>
    <t>Comisiones  Intermediarios PVp</t>
  </si>
  <si>
    <t>Precio medio neto por día (Pvp)</t>
  </si>
  <si>
    <t>Costes variables medio por día (alimentación, limpieza, etc..)</t>
  </si>
  <si>
    <t>Costes fijos estructura anual</t>
  </si>
  <si>
    <t>Tasa de ocupación media anual</t>
  </si>
  <si>
    <t>Precio medio pernoctación</t>
  </si>
  <si>
    <t>Capacidad de producción</t>
  </si>
  <si>
    <t>Ingresos y costes estimados</t>
  </si>
  <si>
    <t>Distribución de las pernoctaciones</t>
  </si>
  <si>
    <t>Costes variables medio por día (alimentación, limpieza, etc.)</t>
  </si>
  <si>
    <t>Régimen de alojamiento</t>
  </si>
  <si>
    <t xml:space="preserve">Cuestión 1. Estimar la linea de equilibrio correspondientes al punto muerto </t>
  </si>
  <si>
    <t>Ocupación media</t>
  </si>
  <si>
    <t xml:space="preserve">Potencial </t>
  </si>
  <si>
    <t>Pernoctaciones  (año = 365 días)</t>
  </si>
  <si>
    <t>Tasa media</t>
  </si>
  <si>
    <t>Nivel de ocupación</t>
  </si>
  <si>
    <t>Valor extremo 1:</t>
  </si>
  <si>
    <t>Valor extremo 2:</t>
  </si>
  <si>
    <t>Relaciones de sustitución, alternativas intermedias</t>
  </si>
  <si>
    <t>Ptos Muertos:</t>
  </si>
  <si>
    <t>Valores extremos que delimitan la frontera de equilibrio entre MP vs TI</t>
  </si>
  <si>
    <t>Nº Pernoctaciones</t>
  </si>
  <si>
    <t>Pernoctaciones</t>
  </si>
  <si>
    <t>Costes fijos totales</t>
  </si>
  <si>
    <t>... de los costes fijos totales</t>
  </si>
  <si>
    <t>... de los costes fijos propios</t>
  </si>
  <si>
    <t>Punto de equilibrio</t>
  </si>
  <si>
    <t>Alternativas intermedias. Relaciones de sustitución</t>
  </si>
  <si>
    <t>Frontera de equilibrio entre MP vs TI, costes propios</t>
  </si>
  <si>
    <r>
      <rPr>
        <b/>
        <u/>
        <sz val="9"/>
        <rFont val="Arial"/>
        <family val="2"/>
      </rPr>
      <t>Objetivo:</t>
    </r>
    <r>
      <rPr>
        <b/>
        <sz val="9"/>
        <rFont val="Arial"/>
        <family val="2"/>
      </rPr>
      <t xml:space="preserve"> Beneficio objetivo sobre ventas:</t>
    </r>
  </si>
  <si>
    <t>Igualando b = d</t>
  </si>
  <si>
    <r>
      <t>MC</t>
    </r>
    <r>
      <rPr>
        <vertAlign val="subscript"/>
        <sz val="11"/>
        <color theme="1"/>
        <rFont val="Calibri"/>
        <family val="2"/>
        <scheme val="minor"/>
      </rPr>
      <t>MP</t>
    </r>
    <r>
      <rPr>
        <sz val="11"/>
        <color theme="1"/>
        <rFont val="Calibri"/>
        <family val="2"/>
        <scheme val="minor"/>
      </rPr>
      <t>=</t>
    </r>
  </si>
  <si>
    <r>
      <t>MC</t>
    </r>
    <r>
      <rPr>
        <vertAlign val="subscript"/>
        <sz val="11"/>
        <color theme="1"/>
        <rFont val="Calibri"/>
        <family val="2"/>
        <scheme val="minor"/>
      </rPr>
      <t>TI</t>
    </r>
    <r>
      <rPr>
        <sz val="11"/>
        <color theme="1"/>
        <rFont val="Calibri"/>
        <family val="2"/>
        <scheme val="minor"/>
      </rPr>
      <t>=</t>
    </r>
  </si>
  <si>
    <t>De la formulación anterior se desprende que:</t>
  </si>
  <si>
    <r>
      <t>Q</t>
    </r>
    <r>
      <rPr>
        <vertAlign val="subscript"/>
        <sz val="14"/>
        <color theme="1"/>
        <rFont val="Calibri"/>
        <family val="2"/>
        <scheme val="minor"/>
      </rPr>
      <t>MP</t>
    </r>
  </si>
  <si>
    <r>
      <t>Q</t>
    </r>
    <r>
      <rPr>
        <vertAlign val="subscript"/>
        <sz val="14"/>
        <color theme="1"/>
        <rFont val="Calibri"/>
        <family val="2"/>
        <scheme val="minor"/>
      </rPr>
      <t>TI</t>
    </r>
  </si>
  <si>
    <t>Valores que delimitan la recta isobeneficio MP vs TI</t>
  </si>
  <si>
    <t>Ingresos totales</t>
  </si>
  <si>
    <t>Impuestos</t>
  </si>
  <si>
    <t>Costes totales (fijos + variables)</t>
  </si>
  <si>
    <t>Bº antes impuestos</t>
  </si>
  <si>
    <t>Bº despues de impuestos</t>
  </si>
  <si>
    <t xml:space="preserve"> % de Bº sobre ingresos</t>
  </si>
  <si>
    <t>Adaptado el objetivo a las restricciones de demanda</t>
  </si>
  <si>
    <t>Estimación de combinación de ventas para cumplir objetivo sin restricciones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</si>
</sst>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\ &quot;€&quot;"/>
    <numFmt numFmtId="165" formatCode="#,##0\ &quot;ud&quot;"/>
    <numFmt numFmtId="166" formatCode="0.000"/>
    <numFmt numFmtId="167" formatCode="0\ &quot;cam&quot;"/>
    <numFmt numFmtId="168" formatCode="#,##0\ &quot;€/dia&quot;"/>
    <numFmt numFmtId="169" formatCode="#,##0\ &quot;dias/año&quot;"/>
    <numFmt numFmtId="170" formatCode="#,##0\ &quot;pernoct&quot;"/>
    <numFmt numFmtId="171" formatCode="#,##0\ &quot;pernoc/año&quot;"/>
    <numFmt numFmtId="172" formatCode="0.0%"/>
    <numFmt numFmtId="174" formatCode="#,##0\ &quot;per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  <font>
      <b/>
      <i/>
      <sz val="11"/>
      <name val="Times New Roman"/>
      <family val="1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Calibri"/>
      <family val="2"/>
      <scheme val="minor"/>
    </font>
    <font>
      <i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1" fillId="0" borderId="0" applyFont="0" applyFill="0" applyBorder="0" applyAlignment="0" applyProtection="0"/>
  </cellStyleXfs>
  <cellXfs count="2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10" fillId="0" borderId="8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8" xfId="0" applyBorder="1"/>
    <xf numFmtId="164" fontId="3" fillId="0" borderId="1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0" fillId="0" borderId="0" xfId="0" applyNumberFormat="1"/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11" xfId="0" applyBorder="1"/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3" xfId="0" applyNumberFormat="1" applyBorder="1"/>
    <xf numFmtId="164" fontId="0" fillId="0" borderId="8" xfId="0" applyNumberFormat="1" applyBorder="1"/>
    <xf numFmtId="0" fontId="3" fillId="0" borderId="8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4" borderId="0" xfId="0" applyFont="1" applyFill="1"/>
    <xf numFmtId="0" fontId="21" fillId="0" borderId="0" xfId="0" applyFont="1" applyAlignment="1">
      <alignment horizontal="right"/>
    </xf>
    <xf numFmtId="0" fontId="21" fillId="0" borderId="0" xfId="0" applyFont="1" applyFill="1" applyBorder="1" applyAlignment="1">
      <alignment horizontal="right"/>
    </xf>
    <xf numFmtId="9" fontId="0" fillId="0" borderId="0" xfId="0" applyNumberFormat="1"/>
    <xf numFmtId="169" fontId="3" fillId="0" borderId="0" xfId="0" applyNumberFormat="1" applyFont="1" applyAlignment="1">
      <alignment vertical="center"/>
    </xf>
    <xf numFmtId="164" fontId="0" fillId="0" borderId="0" xfId="0" applyNumberFormat="1" applyFont="1" applyFill="1" applyAlignment="1">
      <alignment vertical="center"/>
    </xf>
    <xf numFmtId="0" fontId="0" fillId="0" borderId="9" xfId="0" applyBorder="1" applyAlignment="1">
      <alignment horizontal="center" vertical="center"/>
    </xf>
    <xf numFmtId="9" fontId="0" fillId="2" borderId="12" xfId="2" applyFont="1" applyFill="1" applyBorder="1" applyAlignment="1">
      <alignment horizontal="center" vertical="center"/>
    </xf>
    <xf numFmtId="9" fontId="0" fillId="2" borderId="6" xfId="2" applyFont="1" applyFill="1" applyBorder="1" applyAlignment="1">
      <alignment horizontal="center" vertical="center"/>
    </xf>
    <xf numFmtId="169" fontId="3" fillId="0" borderId="15" xfId="0" applyNumberFormat="1" applyFont="1" applyBorder="1" applyAlignment="1">
      <alignment vertical="center"/>
    </xf>
    <xf numFmtId="169" fontId="3" fillId="0" borderId="10" xfId="0" applyNumberFormat="1" applyFont="1" applyBorder="1" applyAlignment="1">
      <alignment vertical="center"/>
    </xf>
    <xf numFmtId="168" fontId="0" fillId="2" borderId="15" xfId="0" applyNumberFormat="1" applyFill="1" applyBorder="1" applyAlignment="1">
      <alignment horizontal="center" vertical="center"/>
    </xf>
    <xf numFmtId="168" fontId="0" fillId="2" borderId="10" xfId="0" applyNumberFormat="1" applyFill="1" applyBorder="1" applyAlignment="1">
      <alignment horizontal="center" vertical="center"/>
    </xf>
    <xf numFmtId="168" fontId="0" fillId="0" borderId="15" xfId="0" applyNumberFormat="1" applyFill="1" applyBorder="1" applyAlignment="1">
      <alignment horizontal="center" vertical="center"/>
    </xf>
    <xf numFmtId="168" fontId="0" fillId="0" borderId="10" xfId="0" applyNumberForma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9" fontId="0" fillId="0" borderId="12" xfId="2" applyFont="1" applyFill="1" applyBorder="1" applyAlignment="1">
      <alignment horizontal="center" vertical="center"/>
    </xf>
    <xf numFmtId="9" fontId="0" fillId="0" borderId="6" xfId="2" applyFont="1" applyFill="1" applyBorder="1" applyAlignment="1">
      <alignment horizontal="center" vertical="center"/>
    </xf>
    <xf numFmtId="169" fontId="3" fillId="0" borderId="15" xfId="0" applyNumberFormat="1" applyFont="1" applyFill="1" applyBorder="1" applyAlignment="1">
      <alignment vertical="center"/>
    </xf>
    <xf numFmtId="169" fontId="3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70" fontId="0" fillId="0" borderId="9" xfId="0" applyNumberFormat="1" applyBorder="1"/>
    <xf numFmtId="170" fontId="0" fillId="0" borderId="4" xfId="0" applyNumberFormat="1" applyBorder="1"/>
    <xf numFmtId="164" fontId="3" fillId="0" borderId="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71" fontId="2" fillId="0" borderId="4" xfId="0" applyNumberFormat="1" applyFont="1" applyBorder="1"/>
    <xf numFmtId="171" fontId="3" fillId="0" borderId="9" xfId="0" applyNumberFormat="1" applyFont="1" applyFill="1" applyBorder="1" applyAlignment="1">
      <alignment vertical="center"/>
    </xf>
    <xf numFmtId="169" fontId="0" fillId="0" borderId="0" xfId="0" applyNumberFormat="1"/>
    <xf numFmtId="171" fontId="23" fillId="0" borderId="0" xfId="0" applyNumberFormat="1" applyFont="1" applyBorder="1"/>
    <xf numFmtId="171" fontId="3" fillId="0" borderId="11" xfId="0" applyNumberFormat="1" applyFont="1" applyBorder="1"/>
    <xf numFmtId="170" fontId="9" fillId="0" borderId="10" xfId="0" applyNumberFormat="1" applyFont="1" applyBorder="1" applyAlignment="1">
      <alignment horizontal="center" vertical="center"/>
    </xf>
    <xf numFmtId="170" fontId="9" fillId="0" borderId="7" xfId="0" applyNumberFormat="1" applyFont="1" applyBorder="1" applyAlignment="1">
      <alignment horizontal="right" vertical="center"/>
    </xf>
    <xf numFmtId="172" fontId="0" fillId="0" borderId="0" xfId="2" applyNumberFormat="1" applyFont="1" applyBorder="1" applyAlignment="1">
      <alignment horizontal="center" vertical="center"/>
    </xf>
    <xf numFmtId="172" fontId="0" fillId="0" borderId="11" xfId="2" applyNumberFormat="1" applyFont="1" applyBorder="1" applyAlignment="1">
      <alignment horizontal="center" vertical="center"/>
    </xf>
    <xf numFmtId="170" fontId="0" fillId="0" borderId="0" xfId="0" applyNumberFormat="1" applyBorder="1" applyAlignment="1">
      <alignment horizontal="center"/>
    </xf>
    <xf numFmtId="170" fontId="0" fillId="0" borderId="11" xfId="0" applyNumberFormat="1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170" fontId="0" fillId="0" borderId="6" xfId="0" applyNumberFormat="1" applyBorder="1" applyAlignment="1">
      <alignment horizontal="center"/>
    </xf>
    <xf numFmtId="170" fontId="0" fillId="0" borderId="6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70" fontId="0" fillId="0" borderId="0" xfId="0" applyNumberFormat="1" applyBorder="1"/>
    <xf numFmtId="170" fontId="2" fillId="0" borderId="11" xfId="0" applyNumberFormat="1" applyFont="1" applyBorder="1"/>
    <xf numFmtId="170" fontId="2" fillId="0" borderId="12" xfId="0" applyNumberFormat="1" applyFont="1" applyBorder="1"/>
    <xf numFmtId="170" fontId="0" fillId="0" borderId="6" xfId="0" applyNumberFormat="1" applyBorder="1"/>
    <xf numFmtId="0" fontId="0" fillId="0" borderId="0" xfId="0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8" fontId="0" fillId="0" borderId="12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70" fontId="0" fillId="0" borderId="0" xfId="0" applyNumberFormat="1" applyBorder="1" applyAlignment="1">
      <alignment horizontal="center" vertical="center"/>
    </xf>
    <xf numFmtId="170" fontId="0" fillId="0" borderId="11" xfId="0" applyNumberFormat="1" applyBorder="1" applyAlignment="1">
      <alignment horizontal="center" vertical="center"/>
    </xf>
    <xf numFmtId="170" fontId="0" fillId="0" borderId="12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170" fontId="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0" borderId="0" xfId="2" applyFont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4" fillId="0" borderId="0" xfId="0" applyFont="1"/>
    <xf numFmtId="165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9" fontId="1" fillId="0" borderId="6" xfId="2" applyFont="1" applyBorder="1" applyAlignment="1">
      <alignment horizontal="center" vertical="center"/>
    </xf>
    <xf numFmtId="174" fontId="0" fillId="0" borderId="2" xfId="0" applyNumberFormat="1" applyBorder="1"/>
    <xf numFmtId="174" fontId="0" fillId="0" borderId="3" xfId="0" applyNumberFormat="1" applyBorder="1"/>
    <xf numFmtId="17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72" fontId="0" fillId="0" borderId="1" xfId="2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3" xfId="0" applyBorder="1"/>
    <xf numFmtId="170" fontId="0" fillId="0" borderId="2" xfId="0" applyNumberForma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171" fontId="0" fillId="0" borderId="5" xfId="0" applyNumberFormat="1" applyBorder="1" applyAlignment="1">
      <alignment horizontal="center" vertical="center"/>
    </xf>
    <xf numFmtId="171" fontId="0" fillId="0" borderId="6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8" fontId="0" fillId="2" borderId="9" xfId="0" applyNumberFormat="1" applyFill="1" applyBorder="1" applyAlignment="1">
      <alignment horizontal="center" vertical="center"/>
    </xf>
    <xf numFmtId="168" fontId="0" fillId="2" borderId="12" xfId="0" applyNumberFormat="1" applyFill="1" applyBorder="1" applyAlignment="1">
      <alignment horizontal="center" vertical="center"/>
    </xf>
    <xf numFmtId="168" fontId="0" fillId="2" borderId="4" xfId="0" applyNumberFormat="1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67" fontId="0" fillId="2" borderId="15" xfId="0" applyNumberFormat="1" applyFill="1" applyBorder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9" fontId="0" fillId="2" borderId="7" xfId="2" applyFont="1" applyFill="1" applyBorder="1" applyAlignment="1">
      <alignment horizontal="center" vertical="center"/>
    </xf>
    <xf numFmtId="9" fontId="0" fillId="2" borderId="10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1" fontId="0" fillId="0" borderId="3" xfId="0" applyNumberFormat="1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9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7" fontId="0" fillId="0" borderId="15" xfId="0" applyNumberFormat="1" applyFill="1" applyBorder="1" applyAlignment="1">
      <alignment horizontal="center"/>
    </xf>
    <xf numFmtId="167" fontId="0" fillId="0" borderId="10" xfId="0" applyNumberFormat="1" applyFill="1" applyBorder="1" applyAlignment="1">
      <alignment horizontal="center"/>
    </xf>
    <xf numFmtId="9" fontId="0" fillId="0" borderId="15" xfId="2" applyFont="1" applyFill="1" applyBorder="1" applyAlignment="1">
      <alignment horizontal="center" vertical="center"/>
    </xf>
    <xf numFmtId="9" fontId="0" fillId="0" borderId="10" xfId="2" applyFont="1" applyFill="1" applyBorder="1" applyAlignment="1">
      <alignment horizontal="center" vertical="center"/>
    </xf>
    <xf numFmtId="172" fontId="0" fillId="0" borderId="0" xfId="2" applyNumberFormat="1" applyFont="1" applyBorder="1" applyAlignment="1">
      <alignment horizontal="center" vertical="center"/>
    </xf>
    <xf numFmtId="172" fontId="0" fillId="0" borderId="12" xfId="2" applyNumberFormat="1" applyFont="1" applyBorder="1" applyAlignment="1">
      <alignment horizontal="center" vertical="center"/>
    </xf>
    <xf numFmtId="172" fontId="0" fillId="0" borderId="11" xfId="2" applyNumberFormat="1" applyFont="1" applyBorder="1" applyAlignment="1">
      <alignment horizontal="center" vertical="center"/>
    </xf>
    <xf numFmtId="172" fontId="0" fillId="0" borderId="6" xfId="2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166" fontId="0" fillId="0" borderId="0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171" fontId="0" fillId="0" borderId="15" xfId="0" applyNumberForma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8" fontId="0" fillId="0" borderId="9" xfId="0" applyNumberFormat="1" applyFill="1" applyBorder="1" applyAlignment="1">
      <alignment horizontal="center" vertical="center"/>
    </xf>
    <xf numFmtId="168" fontId="0" fillId="0" borderId="12" xfId="0" applyNumberFormat="1" applyFill="1" applyBorder="1" applyAlignment="1">
      <alignment horizontal="center" vertical="center"/>
    </xf>
    <xf numFmtId="168" fontId="0" fillId="0" borderId="4" xfId="0" applyNumberFormat="1" applyFill="1" applyBorder="1" applyAlignment="1">
      <alignment horizontal="center" vertical="center"/>
    </xf>
    <xf numFmtId="168" fontId="0" fillId="0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1" xfId="0" applyBorder="1" applyAlignment="1">
      <alignment horizontal="right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5" fillId="0" borderId="12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4" fontId="0" fillId="0" borderId="2" xfId="0" applyNumberFormat="1" applyBorder="1" applyAlignment="1">
      <alignment horizontal="center" vertical="center"/>
    </xf>
    <xf numFmtId="174" fontId="0" fillId="0" borderId="13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1" fillId="0" borderId="2" xfId="2" applyFont="1" applyBorder="1" applyAlignment="1">
      <alignment horizontal="center" vertical="center"/>
    </xf>
    <xf numFmtId="9" fontId="1" fillId="0" borderId="14" xfId="2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359133299827"/>
          <c:y val="3.090295531240413E-2"/>
          <c:w val="0.80816284360981649"/>
          <c:h val="0.88536368018932698"/>
        </c:manualLayout>
      </c:layout>
      <c:scatterChart>
        <c:scatterStyle val="lineMarker"/>
        <c:varyColors val="0"/>
        <c:ser>
          <c:idx val="0"/>
          <c:order val="0"/>
          <c:tx>
            <c:v>Valores Extremos</c:v>
          </c:tx>
          <c:spPr>
            <a:ln w="25400" cap="rnd">
              <a:solidFill>
                <a:schemeClr val="tx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'Solucion '!$G$14:$G$15</c:f>
              <c:numCache>
                <c:formatCode>#,##0\ "pernoct"</c:formatCode>
                <c:ptCount val="2"/>
                <c:pt idx="0">
                  <c:v>45000</c:v>
                </c:pt>
                <c:pt idx="1">
                  <c:v>0</c:v>
                </c:pt>
              </c:numCache>
            </c:numRef>
          </c:xVal>
          <c:yVal>
            <c:numRef>
              <c:f>'Solucion '!$H$14:$H$15</c:f>
              <c:numCache>
                <c:formatCode>#,##0\ "pernoct"</c:formatCode>
                <c:ptCount val="2"/>
                <c:pt idx="0">
                  <c:v>0</c:v>
                </c:pt>
                <c:pt idx="1">
                  <c:v>32142.857142857141</c:v>
                </c:pt>
              </c:numCache>
            </c:numRef>
          </c:yVal>
          <c:smooth val="0"/>
        </c:ser>
        <c:ser>
          <c:idx val="1"/>
          <c:order val="1"/>
          <c:tx>
            <c:v>Sustitución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'Solucion '!$G$16:$G$17</c:f>
              <c:numCache>
                <c:formatCode>#,##0\ "pernoct"</c:formatCode>
                <c:ptCount val="2"/>
                <c:pt idx="0">
                  <c:v>32850</c:v>
                </c:pt>
                <c:pt idx="1">
                  <c:v>14339.999999999996</c:v>
                </c:pt>
              </c:numCache>
            </c:numRef>
          </c:xVal>
          <c:yVal>
            <c:numRef>
              <c:f>'Solucion '!$H$16:$H$17</c:f>
              <c:numCache>
                <c:formatCode>#,##0\ "pernoct"</c:formatCode>
                <c:ptCount val="2"/>
                <c:pt idx="0">
                  <c:v>8678.5714285714294</c:v>
                </c:pt>
                <c:pt idx="1">
                  <c:v>21900</c:v>
                </c:pt>
              </c:numCache>
            </c:numRef>
          </c:yVal>
          <c:smooth val="0"/>
        </c:ser>
        <c:ser>
          <c:idx val="2"/>
          <c:order val="2"/>
          <c:tx>
            <c:v>VeR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'Solucion '!$G$56:$G$57</c:f>
              <c:numCache>
                <c:formatCode>#,##0\ "per"</c:formatCode>
                <c:ptCount val="2"/>
                <c:pt idx="0">
                  <c:v>180000</c:v>
                </c:pt>
                <c:pt idx="1">
                  <c:v>0</c:v>
                </c:pt>
              </c:numCache>
            </c:numRef>
          </c:xVal>
          <c:yVal>
            <c:numRef>
              <c:f>'Solucion '!$H$56:$H$57</c:f>
              <c:numCache>
                <c:formatCode>#,##0\ "per"</c:formatCode>
                <c:ptCount val="2"/>
                <c:pt idx="0">
                  <c:v>0</c:v>
                </c:pt>
                <c:pt idx="1">
                  <c:v>102272.72727272726</c:v>
                </c:pt>
              </c:numCache>
            </c:numRef>
          </c:yVal>
          <c:smooth val="0"/>
        </c:ser>
        <c:ser>
          <c:idx val="3"/>
          <c:order val="3"/>
          <c:tx>
            <c:v>SustR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'Solucion '!$G$58:$G$59</c:f>
              <c:numCache>
                <c:formatCode>#,##0\ "per"</c:formatCode>
                <c:ptCount val="2"/>
                <c:pt idx="0">
                  <c:v>32850</c:v>
                </c:pt>
                <c:pt idx="1">
                  <c:v>141456</c:v>
                </c:pt>
              </c:numCache>
            </c:numRef>
          </c:xVal>
          <c:yVal>
            <c:numRef>
              <c:f>'Solucion '!$H$58:$H$59</c:f>
              <c:numCache>
                <c:formatCode>#,##0\ "per"</c:formatCode>
                <c:ptCount val="2"/>
                <c:pt idx="0">
                  <c:v>83607.95454545453</c:v>
                </c:pt>
                <c:pt idx="1">
                  <c:v>21900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7639792"/>
        <c:axId val="-307627824"/>
      </c:scatterChart>
      <c:valAx>
        <c:axId val="-30763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ud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7627824"/>
        <c:crosses val="autoZero"/>
        <c:crossBetween val="midCat"/>
      </c:valAx>
      <c:valAx>
        <c:axId val="-3076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ud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7639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359133299827"/>
          <c:y val="3.090295531240413E-2"/>
          <c:w val="0.80816280943605456"/>
          <c:h val="0.89031111370818905"/>
        </c:manualLayout>
      </c:layout>
      <c:scatterChart>
        <c:scatterStyle val="lineMarker"/>
        <c:varyColors val="0"/>
        <c:ser>
          <c:idx val="0"/>
          <c:order val="0"/>
          <c:tx>
            <c:v>Valores Extremos</c:v>
          </c:tx>
          <c:spPr>
            <a:ln w="25400" cap="rnd">
              <a:solidFill>
                <a:schemeClr val="tx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'Solucion '!$G$14:$G$15</c:f>
              <c:numCache>
                <c:formatCode>#,##0\ "pernoct"</c:formatCode>
                <c:ptCount val="2"/>
                <c:pt idx="0">
                  <c:v>45000</c:v>
                </c:pt>
                <c:pt idx="1">
                  <c:v>0</c:v>
                </c:pt>
              </c:numCache>
            </c:numRef>
          </c:xVal>
          <c:yVal>
            <c:numRef>
              <c:f>'Solucion '!$H$14:$H$15</c:f>
              <c:numCache>
                <c:formatCode>#,##0\ "pernoct"</c:formatCode>
                <c:ptCount val="2"/>
                <c:pt idx="0">
                  <c:v>0</c:v>
                </c:pt>
                <c:pt idx="1">
                  <c:v>32142.857142857141</c:v>
                </c:pt>
              </c:numCache>
            </c:numRef>
          </c:yVal>
          <c:smooth val="0"/>
        </c:ser>
        <c:ser>
          <c:idx val="1"/>
          <c:order val="1"/>
          <c:tx>
            <c:v>Sustitución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'Solucion '!$G$16:$G$17</c:f>
              <c:numCache>
                <c:formatCode>#,##0\ "pernoct"</c:formatCode>
                <c:ptCount val="2"/>
                <c:pt idx="0">
                  <c:v>32850</c:v>
                </c:pt>
                <c:pt idx="1">
                  <c:v>14339.999999999996</c:v>
                </c:pt>
              </c:numCache>
            </c:numRef>
          </c:xVal>
          <c:yVal>
            <c:numRef>
              <c:f>'Solucion '!$H$16:$H$17</c:f>
              <c:numCache>
                <c:formatCode>#,##0\ "pernoct"</c:formatCode>
                <c:ptCount val="2"/>
                <c:pt idx="0">
                  <c:v>8678.5714285714294</c:v>
                </c:pt>
                <c:pt idx="1">
                  <c:v>21900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713680"/>
        <c:axId val="-961728368"/>
      </c:scatterChart>
      <c:valAx>
        <c:axId val="-96171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ud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961728368"/>
        <c:crosses val="autoZero"/>
        <c:crossBetween val="midCat"/>
      </c:valAx>
      <c:valAx>
        <c:axId val="-96172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ud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96171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7359133299827"/>
          <c:y val="3.090295531240413E-2"/>
          <c:w val="0.80816280943605456"/>
          <c:h val="0.89031111370818905"/>
        </c:manualLayout>
      </c:layout>
      <c:scatterChart>
        <c:scatterStyle val="lineMarker"/>
        <c:varyColors val="0"/>
        <c:ser>
          <c:idx val="0"/>
          <c:order val="0"/>
          <c:tx>
            <c:v>Valores Extremos</c:v>
          </c:tx>
          <c:spPr>
            <a:ln w="25400" cap="rnd">
              <a:solidFill>
                <a:schemeClr val="tx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'Solucion '!$G$14:$G$15</c:f>
              <c:numCache>
                <c:formatCode>#,##0\ "pernoct"</c:formatCode>
                <c:ptCount val="2"/>
                <c:pt idx="0">
                  <c:v>45000</c:v>
                </c:pt>
                <c:pt idx="1">
                  <c:v>0</c:v>
                </c:pt>
              </c:numCache>
            </c:numRef>
          </c:xVal>
          <c:yVal>
            <c:numRef>
              <c:f>'Solucion '!$H$14:$H$15</c:f>
              <c:numCache>
                <c:formatCode>#,##0\ "pernoct"</c:formatCode>
                <c:ptCount val="2"/>
                <c:pt idx="0">
                  <c:v>0</c:v>
                </c:pt>
                <c:pt idx="1">
                  <c:v>32142.857142857141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972912"/>
        <c:axId val="-211985968"/>
      </c:scatterChart>
      <c:valAx>
        <c:axId val="-21197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ud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1985968"/>
        <c:crosses val="autoZero"/>
        <c:crossBetween val="midCat"/>
      </c:valAx>
      <c:valAx>
        <c:axId val="-21198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ud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1197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27</xdr:row>
      <xdr:rowOff>28575</xdr:rowOff>
    </xdr:from>
    <xdr:ext cx="771525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1190625" y="4981575"/>
              <a:ext cx="771525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𝐶𝐹</m:t>
                        </m:r>
                      </m:num>
                      <m:den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𝑀𝐶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1190625" y="4981575"/>
              <a:ext cx="771525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𝑄=𝐶𝐹/𝑀𝐶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47626</xdr:colOff>
      <xdr:row>38</xdr:row>
      <xdr:rowOff>0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7626" y="628650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𝑅𝑆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𝑀𝑃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𝑇𝐼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7626" y="628650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〖𝑅𝑆〗_𝑀𝑃=〖𝑀𝐶〗_𝑀𝑃/〖𝑀𝐶〗_𝑇𝐼 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114300</xdr:colOff>
      <xdr:row>38</xdr:row>
      <xdr:rowOff>19050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1066800" y="630555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𝑅𝑆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𝑇𝐼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𝑇𝐼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066800" y="630555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〖𝑅𝑆〗_𝑇𝐼=〖𝑀𝐶〗_𝑇𝐼/〖𝑀𝐶〗_𝑀𝑃 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600075</xdr:colOff>
      <xdr:row>48</xdr:row>
      <xdr:rowOff>19050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847725" y="516255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𝑅𝑀𝐶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847725" y="516255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〖𝑅𝑀𝐶〗_𝐴=〖𝑀𝐶〗_𝐴/𝑃_𝐴 </a:t>
              </a:r>
              <a:endParaRPr lang="es-ES" sz="1100"/>
            </a:p>
          </xdr:txBody>
        </xdr:sp>
      </mc:Fallback>
    </mc:AlternateContent>
    <xdr:clientData/>
  </xdr:oneCellAnchor>
  <xdr:twoCellAnchor>
    <xdr:from>
      <xdr:col>14</xdr:col>
      <xdr:colOff>28575</xdr:colOff>
      <xdr:row>70</xdr:row>
      <xdr:rowOff>57150</xdr:rowOff>
    </xdr:from>
    <xdr:to>
      <xdr:col>22</xdr:col>
      <xdr:colOff>476250</xdr:colOff>
      <xdr:row>79</xdr:row>
      <xdr:rowOff>9525</xdr:rowOff>
    </xdr:to>
    <xdr:sp macro="" textlink="">
      <xdr:nvSpPr>
        <xdr:cNvPr id="14" name="CuadroTexto 13"/>
        <xdr:cNvSpPr txBox="1"/>
      </xdr:nvSpPr>
      <xdr:spPr>
        <a:xfrm>
          <a:off x="12801600" y="13201650"/>
          <a:ext cx="712470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Para determinar la combinación optima de tipos de pernoctaciones a partir de la cual se obtiene beneficios, es necesario determinar el ratio de margen de contribución (RMC) de cada tipo de régimen de alojamiento, y que nos dará el porcentaje de los ingresos que de cada tipo de pernoctación se queda libre para cubrir costes fijos y dar beneficio, por tanto tendrá preferencia o prioridad aquellas que presenten un ratio mayor. De esta forma y para el caso que nos ocupa tendrá prioridad las reservas que vengan con régimen todo incluido ya que presenta un RMC del 56,3% frente al 40,0 % de las pernoctaciones bajo el régimen de media pensión.</a:t>
          </a:r>
        </a:p>
        <a:p>
          <a:r>
            <a:rPr lang="es-ES" sz="110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De donde se deduce que la combinación más rentable de todas las posibles será aquella que suponga cubrir la máxima demanda de T.I; por lo tanto, la combinación óptima consistirá en cubrir las 32.850 pernoctaciones al año del régimen de alojamiento T.I  y 8.679</a:t>
          </a:r>
          <a:r>
            <a:rPr lang="es-ES" sz="1100" b="1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 pernoctaciones de M.P, tal y como se muestra en el gráfico.</a:t>
          </a:r>
        </a:p>
      </xdr:txBody>
    </xdr:sp>
    <xdr:clientData/>
  </xdr:twoCellAnchor>
  <xdr:oneCellAnchor>
    <xdr:from>
      <xdr:col>0</xdr:col>
      <xdr:colOff>57150</xdr:colOff>
      <xdr:row>64</xdr:row>
      <xdr:rowOff>0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/>
            <xdr:cNvSpPr txBox="1"/>
          </xdr:nvSpPr>
          <xdr:spPr>
            <a:xfrm>
              <a:off x="304800" y="781050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𝑅𝑆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19" name="CuadroTexto 18"/>
            <xdr:cNvSpPr txBox="1"/>
          </xdr:nvSpPr>
          <xdr:spPr>
            <a:xfrm>
              <a:off x="304800" y="781050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〖𝑅𝑆〗_𝐴=〖𝑀𝐶〗_𝐴/〖𝑀𝐶〗_𝐵 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104775</xdr:colOff>
      <xdr:row>64</xdr:row>
      <xdr:rowOff>9525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/>
            <xdr:cNvSpPr txBox="1"/>
          </xdr:nvSpPr>
          <xdr:spPr>
            <a:xfrm>
              <a:off x="1209675" y="7820025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𝑅𝑆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0" name="CuadroTexto 19"/>
            <xdr:cNvSpPr txBox="1"/>
          </xdr:nvSpPr>
          <xdr:spPr>
            <a:xfrm>
              <a:off x="1209675" y="7820025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〖𝑅𝑆〗_𝐵=〖𝑀𝐶〗_𝐵/𝑀_𝐴 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0</xdr:col>
      <xdr:colOff>447675</xdr:colOff>
      <xdr:row>74</xdr:row>
      <xdr:rowOff>19050</xdr:rowOff>
    </xdr:from>
    <xdr:ext cx="760849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/>
            <xdr:cNvSpPr txBox="1"/>
          </xdr:nvSpPr>
          <xdr:spPr>
            <a:xfrm>
              <a:off x="695325" y="10877550"/>
              <a:ext cx="760849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𝐵𝐷𝐼</m:t>
                        </m:r>
                      </m:num>
                      <m:den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den>
                    </m:f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18" name="CuadroTexto 17"/>
            <xdr:cNvSpPr txBox="1"/>
          </xdr:nvSpPr>
          <xdr:spPr>
            <a:xfrm>
              <a:off x="695325" y="10877550"/>
              <a:ext cx="760849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𝐵𝐴𝐼=𝐵𝐷𝐼/(1−𝑡)</a:t>
              </a:r>
              <a:endParaRPr lang="es-ES_tradnl" sz="1100" b="0"/>
            </a:p>
          </xdr:txBody>
        </xdr:sp>
      </mc:Fallback>
    </mc:AlternateContent>
    <xdr:clientData/>
  </xdr:oneCellAnchor>
  <xdr:oneCellAnchor>
    <xdr:from>
      <xdr:col>1</xdr:col>
      <xdr:colOff>9525</xdr:colOff>
      <xdr:row>80</xdr:row>
      <xdr:rowOff>47625</xdr:rowOff>
    </xdr:from>
    <xdr:ext cx="243380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/>
            <xdr:cNvSpPr txBox="1"/>
          </xdr:nvSpPr>
          <xdr:spPr>
            <a:xfrm>
              <a:off x="962025" y="15106650"/>
              <a:ext cx="24338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.</m:t>
                        </m:r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s-ES_tradn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𝐶𝐹</m:t>
                    </m:r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21" name="CuadroTexto 20"/>
            <xdr:cNvSpPr txBox="1"/>
          </xdr:nvSpPr>
          <xdr:spPr>
            <a:xfrm>
              <a:off x="962025" y="15106650"/>
              <a:ext cx="243380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𝐵𝐴𝐼=(〖𝑀𝐶〗_𝑀𝑃.𝑄_𝑀𝑃 )+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(〖𝑀𝐶〗_𝑇𝐼.𝑄_𝑇𝐼 )−𝐶𝐹</a:t>
              </a:r>
              <a:endParaRPr lang="es-ES_tradnl" sz="1100" b="0"/>
            </a:p>
          </xdr:txBody>
        </xdr:sp>
      </mc:Fallback>
    </mc:AlternateContent>
    <xdr:clientData/>
  </xdr:oneCellAnchor>
  <xdr:oneCellAnchor>
    <xdr:from>
      <xdr:col>0</xdr:col>
      <xdr:colOff>714375</xdr:colOff>
      <xdr:row>77</xdr:row>
      <xdr:rowOff>19050</xdr:rowOff>
    </xdr:from>
    <xdr:ext cx="250305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/>
            <xdr:cNvSpPr txBox="1"/>
          </xdr:nvSpPr>
          <xdr:spPr>
            <a:xfrm>
              <a:off x="714375" y="14506575"/>
              <a:ext cx="250305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=0,3.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=0,3[</m:t>
                    </m:r>
                    <m:d>
                      <m:d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25.</m:t>
                        </m:r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32.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]</m:t>
                    </m:r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22" name="CuadroTexto 21"/>
            <xdr:cNvSpPr txBox="1"/>
          </xdr:nvSpPr>
          <xdr:spPr>
            <a:xfrm>
              <a:off x="714375" y="14506575"/>
              <a:ext cx="250305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𝐵𝐴𝐼=0,3.𝐼=0,3[(25.𝑄_𝑀𝑃 )+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(32.𝑄_𝑇𝐼 )]</a:t>
              </a:r>
              <a:endParaRPr lang="es-ES_tradnl" sz="1100" b="0"/>
            </a:p>
          </xdr:txBody>
        </xdr:sp>
      </mc:Fallback>
    </mc:AlternateContent>
    <xdr:clientData/>
  </xdr:oneCellAnchor>
  <xdr:twoCellAnchor>
    <xdr:from>
      <xdr:col>1</xdr:col>
      <xdr:colOff>161925</xdr:colOff>
      <xdr:row>78</xdr:row>
      <xdr:rowOff>85726</xdr:rowOff>
    </xdr:from>
    <xdr:to>
      <xdr:col>1</xdr:col>
      <xdr:colOff>342900</xdr:colOff>
      <xdr:row>79</xdr:row>
      <xdr:rowOff>66676</xdr:rowOff>
    </xdr:to>
    <xdr:sp macro="" textlink="">
      <xdr:nvSpPr>
        <xdr:cNvPr id="23" name="Elipse 22"/>
        <xdr:cNvSpPr/>
      </xdr:nvSpPr>
      <xdr:spPr>
        <a:xfrm>
          <a:off x="1266825" y="11706226"/>
          <a:ext cx="180975" cy="171450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tx1"/>
              </a:solidFill>
            </a:rPr>
            <a:t>b</a:t>
          </a:r>
        </a:p>
      </xdr:txBody>
    </xdr:sp>
    <xdr:clientData/>
  </xdr:twoCellAnchor>
  <xdr:oneCellAnchor>
    <xdr:from>
      <xdr:col>0</xdr:col>
      <xdr:colOff>819150</xdr:colOff>
      <xdr:row>81</xdr:row>
      <xdr:rowOff>123825</xdr:rowOff>
    </xdr:from>
    <xdr:ext cx="240553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uadroTexto 23"/>
            <xdr:cNvSpPr txBox="1"/>
          </xdr:nvSpPr>
          <xdr:spPr>
            <a:xfrm>
              <a:off x="819150" y="15371152"/>
              <a:ext cx="240553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10.</m:t>
                        </m:r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14.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−450.000</m:t>
                    </m:r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24" name="CuadroTexto 23"/>
            <xdr:cNvSpPr txBox="1"/>
          </xdr:nvSpPr>
          <xdr:spPr>
            <a:xfrm>
              <a:off x="819150" y="15371152"/>
              <a:ext cx="240553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𝐵𝐴𝐼=(10.𝑄_𝑀𝑃 )+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(14.𝑄_𝑇𝐼 )−450.000</a:t>
              </a:r>
              <a:endParaRPr lang="es-ES_tradnl" sz="1100" b="0"/>
            </a:p>
          </xdr:txBody>
        </xdr:sp>
      </mc:Fallback>
    </mc:AlternateContent>
    <xdr:clientData/>
  </xdr:oneCellAnchor>
  <xdr:oneCellAnchor>
    <xdr:from>
      <xdr:col>0</xdr:col>
      <xdr:colOff>704850</xdr:colOff>
      <xdr:row>85</xdr:row>
      <xdr:rowOff>38100</xdr:rowOff>
    </xdr:from>
    <xdr:ext cx="221156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24"/>
            <xdr:cNvSpPr txBox="1"/>
          </xdr:nvSpPr>
          <xdr:spPr>
            <a:xfrm>
              <a:off x="704850" y="16047427"/>
              <a:ext cx="22115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_tradnl" sz="1100" b="0"/>
                <a:t> </a:t>
              </a:r>
              <a14:m>
                <m:oMath xmlns:m="http://schemas.openxmlformats.org/officeDocument/2006/math">
                  <m:d>
                    <m:dPr>
                      <m:ctrlPr>
                        <a:rPr lang="es-ES_tradn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s-ES_tradn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2,50.</m:t>
                      </m:r>
                      <m:sSub>
                        <m:sSubPr>
                          <m:ctrlPr>
                            <a:rPr lang="es-ES_tradnl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_tradnl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𝑄</m:t>
                          </m:r>
                        </m:e>
                        <m:sub>
                          <m:r>
                            <a:rPr lang="es-ES_tradnl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𝑀𝑃</m:t>
                          </m:r>
                        </m:sub>
                      </m:sSub>
                    </m:e>
                  </m:d>
                  <m:r>
                    <a:rPr lang="es-ES_tradnl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d>
                    <m:dPr>
                      <m:ctrlPr>
                        <a:rPr lang="es-ES_tradn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s-ES_tradn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4,40.</m:t>
                      </m:r>
                      <m:sSub>
                        <m:sSubPr>
                          <m:ctrlPr>
                            <a:rPr lang="es-ES_tradnl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_tradnl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𝑄</m:t>
                          </m:r>
                        </m:e>
                        <m:sub>
                          <m:r>
                            <a:rPr lang="es-ES_tradnl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𝑇𝐼</m:t>
                          </m:r>
                        </m:sub>
                      </m:sSub>
                    </m:e>
                  </m:d>
                  <m:r>
                    <a:rPr lang="es-ES_tradnl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=450.000</m:t>
                  </m:r>
                </m:oMath>
              </a14:m>
              <a:endParaRPr lang="es-ES">
                <a:effectLst/>
              </a:endParaRPr>
            </a:p>
          </xdr:txBody>
        </xdr:sp>
      </mc:Choice>
      <mc:Fallback xmlns="">
        <xdr:sp macro="" textlink="">
          <xdr:nvSpPr>
            <xdr:cNvPr id="25" name="CuadroTexto 24"/>
            <xdr:cNvSpPr txBox="1"/>
          </xdr:nvSpPr>
          <xdr:spPr>
            <a:xfrm>
              <a:off x="704850" y="16047427"/>
              <a:ext cx="221156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_tradnl" sz="1100" b="0"/>
                <a:t> 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(2,50.𝑄_𝑀𝑃 )+(4,40.𝑄_𝑇𝐼 )=450.000</a:t>
              </a:r>
              <a:endParaRPr lang="es-ES">
                <a:effectLst/>
              </a:endParaRPr>
            </a:p>
          </xdr:txBody>
        </xdr:sp>
      </mc:Fallback>
    </mc:AlternateContent>
    <xdr:clientData/>
  </xdr:oneCellAnchor>
  <xdr:oneCellAnchor>
    <xdr:from>
      <xdr:col>0</xdr:col>
      <xdr:colOff>38100</xdr:colOff>
      <xdr:row>93</xdr:row>
      <xdr:rowOff>38100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uadroTexto 25"/>
            <xdr:cNvSpPr txBox="1"/>
          </xdr:nvSpPr>
          <xdr:spPr>
            <a:xfrm>
              <a:off x="285750" y="1421130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𝑅𝑆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𝑀𝑃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𝑇𝐼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6" name="CuadroTexto 25"/>
            <xdr:cNvSpPr txBox="1"/>
          </xdr:nvSpPr>
          <xdr:spPr>
            <a:xfrm>
              <a:off x="285750" y="14211300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〖𝑅𝑆〗_𝑀𝑃=〖𝑀𝐶〗_𝑀𝑃/〖𝑀𝐶〗_𝑇𝐼 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38100</xdr:colOff>
      <xdr:row>93</xdr:row>
      <xdr:rowOff>47625</xdr:rowOff>
    </xdr:from>
    <xdr:ext cx="876300" cy="3456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/>
            <xdr:cNvSpPr txBox="1"/>
          </xdr:nvSpPr>
          <xdr:spPr>
            <a:xfrm>
              <a:off x="2286000" y="14220825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𝑅𝑆</m:t>
                        </m:r>
                      </m:e>
                      <m:sub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𝑇𝐼</m:t>
                        </m:r>
                      </m:sub>
                    </m:sSub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𝑇𝐼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𝑀𝐶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27" name="CuadroTexto 26"/>
            <xdr:cNvSpPr txBox="1"/>
          </xdr:nvSpPr>
          <xdr:spPr>
            <a:xfrm>
              <a:off x="2286000" y="14220825"/>
              <a:ext cx="876300" cy="3456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〖𝑅𝑆〗_𝑇𝐼=〖𝑀𝐶〗_𝑇𝐼/〖𝑀𝐶〗_𝑀𝑃 </a:t>
              </a:r>
              <a:endParaRPr lang="es-ES" sz="1100"/>
            </a:p>
          </xdr:txBody>
        </xdr:sp>
      </mc:Fallback>
    </mc:AlternateContent>
    <xdr:clientData/>
  </xdr:oneCellAnchor>
  <xdr:twoCellAnchor>
    <xdr:from>
      <xdr:col>2</xdr:col>
      <xdr:colOff>276225</xdr:colOff>
      <xdr:row>76</xdr:row>
      <xdr:rowOff>0</xdr:rowOff>
    </xdr:from>
    <xdr:to>
      <xdr:col>2</xdr:col>
      <xdr:colOff>457200</xdr:colOff>
      <xdr:row>76</xdr:row>
      <xdr:rowOff>171450</xdr:rowOff>
    </xdr:to>
    <xdr:sp macro="" textlink="">
      <xdr:nvSpPr>
        <xdr:cNvPr id="28" name="Elipse 27"/>
        <xdr:cNvSpPr/>
      </xdr:nvSpPr>
      <xdr:spPr>
        <a:xfrm>
          <a:off x="2524125" y="11239500"/>
          <a:ext cx="180975" cy="171450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tx1"/>
              </a:solidFill>
            </a:rPr>
            <a:t>a</a:t>
          </a:r>
        </a:p>
      </xdr:txBody>
    </xdr:sp>
    <xdr:clientData/>
  </xdr:twoCellAnchor>
  <xdr:oneCellAnchor>
    <xdr:from>
      <xdr:col>1</xdr:col>
      <xdr:colOff>409575</xdr:colOff>
      <xdr:row>78</xdr:row>
      <xdr:rowOff>76200</xdr:rowOff>
    </xdr:from>
    <xdr:ext cx="17977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uadroTexto 28"/>
            <xdr:cNvSpPr txBox="1"/>
          </xdr:nvSpPr>
          <xdr:spPr>
            <a:xfrm>
              <a:off x="1362075" y="14752027"/>
              <a:ext cx="17977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_tradnl" sz="1100" b="0" i="1">
                        <a:latin typeface="Cambria Math" panose="02040503050406030204" pitchFamily="18" charset="0"/>
                      </a:rPr>
                      <m:t>𝐵𝐴𝐼</m:t>
                    </m:r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7,5.</m:t>
                        </m:r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9,6.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29" name="CuadroTexto 28"/>
            <xdr:cNvSpPr txBox="1"/>
          </xdr:nvSpPr>
          <xdr:spPr>
            <a:xfrm>
              <a:off x="1362075" y="14752027"/>
              <a:ext cx="17977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latin typeface="Cambria Math" panose="02040503050406030204" pitchFamily="18" charset="0"/>
                </a:rPr>
                <a:t>𝐵𝐴𝐼=(7,5.𝑄_𝑀𝑃 )+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(9,6.𝑄_𝑇𝐼 )</a:t>
              </a:r>
              <a:endParaRPr lang="es-ES_tradnl" sz="1100" b="0"/>
            </a:p>
          </xdr:txBody>
        </xdr:sp>
      </mc:Fallback>
    </mc:AlternateContent>
    <xdr:clientData/>
  </xdr:oneCellAnchor>
  <xdr:twoCellAnchor>
    <xdr:from>
      <xdr:col>0</xdr:col>
      <xdr:colOff>638175</xdr:colOff>
      <xdr:row>80</xdr:row>
      <xdr:rowOff>47625</xdr:rowOff>
    </xdr:from>
    <xdr:to>
      <xdr:col>0</xdr:col>
      <xdr:colOff>819150</xdr:colOff>
      <xdr:row>81</xdr:row>
      <xdr:rowOff>28575</xdr:rowOff>
    </xdr:to>
    <xdr:sp macro="" textlink="">
      <xdr:nvSpPr>
        <xdr:cNvPr id="30" name="Elipse 29"/>
        <xdr:cNvSpPr/>
      </xdr:nvSpPr>
      <xdr:spPr>
        <a:xfrm>
          <a:off x="885825" y="12049125"/>
          <a:ext cx="180975" cy="171450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tx1"/>
              </a:solidFill>
            </a:rPr>
            <a:t>c</a:t>
          </a:r>
        </a:p>
      </xdr:txBody>
    </xdr:sp>
    <xdr:clientData/>
  </xdr:twoCellAnchor>
  <xdr:twoCellAnchor>
    <xdr:from>
      <xdr:col>0</xdr:col>
      <xdr:colOff>600075</xdr:colOff>
      <xdr:row>81</xdr:row>
      <xdr:rowOff>133350</xdr:rowOff>
    </xdr:from>
    <xdr:to>
      <xdr:col>0</xdr:col>
      <xdr:colOff>781050</xdr:colOff>
      <xdr:row>82</xdr:row>
      <xdr:rowOff>114300</xdr:rowOff>
    </xdr:to>
    <xdr:sp macro="" textlink="">
      <xdr:nvSpPr>
        <xdr:cNvPr id="31" name="Elipse 30"/>
        <xdr:cNvSpPr/>
      </xdr:nvSpPr>
      <xdr:spPr>
        <a:xfrm>
          <a:off x="847725" y="12325350"/>
          <a:ext cx="180975" cy="171450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tx1"/>
              </a:solidFill>
            </a:rPr>
            <a:t>d</a:t>
          </a:r>
        </a:p>
      </xdr:txBody>
    </xdr:sp>
    <xdr:clientData/>
  </xdr:twoCellAnchor>
  <xdr:oneCellAnchor>
    <xdr:from>
      <xdr:col>0</xdr:col>
      <xdr:colOff>19050</xdr:colOff>
      <xdr:row>83</xdr:row>
      <xdr:rowOff>171450</xdr:rowOff>
    </xdr:from>
    <xdr:ext cx="350788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CuadroTexto 31"/>
            <xdr:cNvSpPr txBox="1"/>
          </xdr:nvSpPr>
          <xdr:spPr>
            <a:xfrm>
              <a:off x="19050" y="15799777"/>
              <a:ext cx="350788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7,5.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𝑀𝑃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9,6.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_tradn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_tradnl" sz="1100" b="0" i="1">
                            <a:latin typeface="Cambria Math" panose="02040503050406030204" pitchFamily="18" charset="0"/>
                          </a:rPr>
                          <m:t>10.</m:t>
                        </m:r>
                        <m:sSub>
                          <m:sSubPr>
                            <m:ctrlPr>
                              <a:rPr lang="es-ES_tradn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latin typeface="Cambria Math" panose="02040503050406030204" pitchFamily="18" charset="0"/>
                              </a:rPr>
                              <m:t>𝑀𝑃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14.</m:t>
                        </m:r>
                        <m:sSub>
                          <m:sSubPr>
                            <m:ctrlP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𝑄</m:t>
                            </m:r>
                          </m:e>
                          <m:sub>
                            <m:r>
                              <a:rPr lang="es-ES_tradnl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𝑇𝐼</m:t>
                            </m:r>
                          </m:sub>
                        </m:sSub>
                      </m:e>
                    </m:d>
                    <m:r>
                      <a:rPr lang="es-ES_tradn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−450.000</m:t>
                    </m:r>
                  </m:oMath>
                </m:oMathPara>
              </a14:m>
              <a:endParaRPr lang="es-ES_tradnl" sz="1100" b="0"/>
            </a:p>
          </xdr:txBody>
        </xdr:sp>
      </mc:Choice>
      <mc:Fallback xmlns="">
        <xdr:sp macro="" textlink="">
          <xdr:nvSpPr>
            <xdr:cNvPr id="32" name="CuadroTexto 31"/>
            <xdr:cNvSpPr txBox="1"/>
          </xdr:nvSpPr>
          <xdr:spPr>
            <a:xfrm>
              <a:off x="19050" y="15799777"/>
              <a:ext cx="350788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(7,5.𝑄_𝑀𝑃 )+(9,6.𝑄_𝑇𝐼 )</a:t>
              </a:r>
              <a:r>
                <a:rPr lang="es-ES_tradnl" sz="1100" b="0" i="0">
                  <a:latin typeface="Cambria Math" panose="02040503050406030204" pitchFamily="18" charset="0"/>
                </a:rPr>
                <a:t>=(10.𝑄_𝑀𝑃 )+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(14.𝑄_𝑇𝐼 )−450.000</a:t>
              </a:r>
              <a:endParaRPr lang="es-ES_tradnl" sz="1100" b="0"/>
            </a:p>
          </xdr:txBody>
        </xdr:sp>
      </mc:Fallback>
    </mc:AlternateContent>
    <xdr:clientData/>
  </xdr:oneCellAnchor>
  <xdr:twoCellAnchor>
    <xdr:from>
      <xdr:col>0</xdr:col>
      <xdr:colOff>474051</xdr:colOff>
      <xdr:row>85</xdr:row>
      <xdr:rowOff>42497</xdr:rowOff>
    </xdr:from>
    <xdr:to>
      <xdr:col>0</xdr:col>
      <xdr:colOff>655026</xdr:colOff>
      <xdr:row>86</xdr:row>
      <xdr:rowOff>23447</xdr:rowOff>
    </xdr:to>
    <xdr:sp macro="" textlink="">
      <xdr:nvSpPr>
        <xdr:cNvPr id="33" name="Elipse 32"/>
        <xdr:cNvSpPr/>
      </xdr:nvSpPr>
      <xdr:spPr>
        <a:xfrm>
          <a:off x="474051" y="16051824"/>
          <a:ext cx="180975" cy="171450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tx1"/>
              </a:solidFill>
            </a:rPr>
            <a:t>f</a:t>
          </a:r>
        </a:p>
      </xdr:txBody>
    </xdr:sp>
    <xdr:clientData/>
  </xdr:twoCellAnchor>
  <xdr:twoCellAnchor>
    <xdr:from>
      <xdr:col>0</xdr:col>
      <xdr:colOff>57150</xdr:colOff>
      <xdr:row>82</xdr:row>
      <xdr:rowOff>161925</xdr:rowOff>
    </xdr:from>
    <xdr:to>
      <xdr:col>0</xdr:col>
      <xdr:colOff>238125</xdr:colOff>
      <xdr:row>83</xdr:row>
      <xdr:rowOff>142875</xdr:rowOff>
    </xdr:to>
    <xdr:sp macro="" textlink="">
      <xdr:nvSpPr>
        <xdr:cNvPr id="39" name="Elipse 38"/>
        <xdr:cNvSpPr/>
      </xdr:nvSpPr>
      <xdr:spPr>
        <a:xfrm>
          <a:off x="57150" y="15601950"/>
          <a:ext cx="180975" cy="171450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tx1"/>
              </a:solidFill>
            </a:rPr>
            <a:t>e</a:t>
          </a:r>
        </a:p>
      </xdr:txBody>
    </xdr:sp>
    <xdr:clientData/>
  </xdr:twoCellAnchor>
  <xdr:twoCellAnchor>
    <xdr:from>
      <xdr:col>5</xdr:col>
      <xdr:colOff>295276</xdr:colOff>
      <xdr:row>70</xdr:row>
      <xdr:rowOff>9526</xdr:rowOff>
    </xdr:from>
    <xdr:to>
      <xdr:col>12</xdr:col>
      <xdr:colOff>619126</xdr:colOff>
      <xdr:row>94</xdr:row>
      <xdr:rowOff>104776</xdr:rowOff>
    </xdr:to>
    <xdr:grpSp>
      <xdr:nvGrpSpPr>
        <xdr:cNvPr id="38" name="Grupo 37"/>
        <xdr:cNvGrpSpPr/>
      </xdr:nvGrpSpPr>
      <xdr:grpSpPr>
        <a:xfrm>
          <a:off x="5495926" y="13344526"/>
          <a:ext cx="6496050" cy="4743450"/>
          <a:chOff x="6029326" y="19573876"/>
          <a:chExt cx="6019800" cy="4743450"/>
        </a:xfrm>
      </xdr:grpSpPr>
      <xdr:grpSp>
        <xdr:nvGrpSpPr>
          <xdr:cNvPr id="37" name="Grupo 36"/>
          <xdr:cNvGrpSpPr/>
        </xdr:nvGrpSpPr>
        <xdr:grpSpPr>
          <a:xfrm>
            <a:off x="6029326" y="19573876"/>
            <a:ext cx="6019800" cy="4743450"/>
            <a:chOff x="6019801" y="19364326"/>
            <a:chExt cx="6019800" cy="4743450"/>
          </a:xfrm>
        </xdr:grpSpPr>
        <xdr:grpSp>
          <xdr:nvGrpSpPr>
            <xdr:cNvPr id="36" name="Grupo 35"/>
            <xdr:cNvGrpSpPr/>
          </xdr:nvGrpSpPr>
          <xdr:grpSpPr>
            <a:xfrm>
              <a:off x="6019801" y="19364326"/>
              <a:ext cx="6019800" cy="4743450"/>
              <a:chOff x="6019801" y="19364326"/>
              <a:chExt cx="6019800" cy="4743450"/>
            </a:xfrm>
          </xdr:grpSpPr>
          <xdr:grpSp>
            <xdr:nvGrpSpPr>
              <xdr:cNvPr id="34" name="Grupo 33"/>
              <xdr:cNvGrpSpPr/>
            </xdr:nvGrpSpPr>
            <xdr:grpSpPr>
              <a:xfrm>
                <a:off x="6019801" y="19364326"/>
                <a:ext cx="6019800" cy="4743450"/>
                <a:chOff x="6019801" y="19364326"/>
                <a:chExt cx="6019800" cy="4743450"/>
              </a:xfrm>
            </xdr:grpSpPr>
            <xdr:grpSp>
              <xdr:nvGrpSpPr>
                <xdr:cNvPr id="13" name="Grupo 12"/>
                <xdr:cNvGrpSpPr/>
              </xdr:nvGrpSpPr>
              <xdr:grpSpPr>
                <a:xfrm>
                  <a:off x="6019801" y="19364326"/>
                  <a:ext cx="6019800" cy="4743450"/>
                  <a:chOff x="6019801" y="19364326"/>
                  <a:chExt cx="6019800" cy="4743450"/>
                </a:xfrm>
              </xdr:grpSpPr>
              <xdr:graphicFrame macro="">
                <xdr:nvGraphicFramePr>
                  <xdr:cNvPr id="41" name="Gráfico 40"/>
                  <xdr:cNvGraphicFramePr>
                    <a:graphicFrameLocks/>
                  </xdr:cNvGraphicFramePr>
                </xdr:nvGraphicFramePr>
                <xdr:xfrm>
                  <a:off x="6019801" y="19364326"/>
                  <a:ext cx="6019800" cy="474345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"/>
                  </a:graphicData>
                </a:graphic>
              </xdr:graphicFrame>
              <xdr:sp macro="" textlink="">
                <xdr:nvSpPr>
                  <xdr:cNvPr id="48" name="CuadroTexto 16"/>
                  <xdr:cNvSpPr txBox="1"/>
                </xdr:nvSpPr>
                <xdr:spPr>
                  <a:xfrm>
                    <a:off x="10191750" y="23526750"/>
                    <a:ext cx="1036188" cy="190727"/>
                  </a:xfrm>
                  <a:prstGeom prst="rect">
                    <a:avLst/>
                  </a:prstGeom>
                  <a:noFill/>
                  <a:ln w="9525" cmpd="sng">
                    <a:noFill/>
                    <a:prstDash val="sysDot"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wrap="square" rtlCol="0" anchor="ctr"/>
                  <a:lstStyle>
                    <a:lvl1pPr marL="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s-ES" sz="1100" b="1">
                        <a:solidFill>
                          <a:schemeClr val="tx1"/>
                        </a:solidFill>
                      </a:rPr>
                      <a:t>(0 ; 180.000)</a:t>
                    </a:r>
                  </a:p>
                </xdr:txBody>
              </xdr:sp>
            </xdr:grpSp>
            <xdr:sp macro="" textlink="">
              <xdr:nvSpPr>
                <xdr:cNvPr id="49" name="CuadroTexto 16"/>
                <xdr:cNvSpPr txBox="1"/>
              </xdr:nvSpPr>
              <xdr:spPr>
                <a:xfrm>
                  <a:off x="7562850" y="20612100"/>
                  <a:ext cx="1257300" cy="266700"/>
                </a:xfrm>
                <a:prstGeom prst="rect">
                  <a:avLst/>
                </a:prstGeom>
                <a:noFill/>
                <a:ln w="9525" cmpd="sng">
                  <a:noFill/>
                  <a:prstDash val="sysDot"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wrap="square" rtlCol="0" anchor="ctr"/>
                <a:lstStyle>
                  <a:lvl1pPr marL="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s-ES" sz="1100" b="1">
                      <a:solidFill>
                        <a:schemeClr val="tx1"/>
                      </a:solidFill>
                    </a:rPr>
                    <a:t>(83.608 ; 32.850)</a:t>
                  </a:r>
                </a:p>
              </xdr:txBody>
            </xdr:sp>
          </xdr:grpSp>
          <xdr:sp macro="" textlink="">
            <xdr:nvSpPr>
              <xdr:cNvPr id="50" name="CuadroTexto 16"/>
              <xdr:cNvSpPr txBox="1"/>
            </xdr:nvSpPr>
            <xdr:spPr>
              <a:xfrm>
                <a:off x="6772274" y="19897725"/>
                <a:ext cx="933451" cy="219075"/>
              </a:xfrm>
              <a:prstGeom prst="rect">
                <a:avLst/>
              </a:prstGeom>
              <a:noFill/>
              <a:ln w="9525" cmpd="sng">
                <a:noFill/>
                <a:prstDash val="sysDot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s-ES" sz="1100" b="1">
                    <a:solidFill>
                      <a:schemeClr val="tx1"/>
                    </a:solidFill>
                  </a:rPr>
                  <a:t>(102.723 ; 0)</a:t>
                </a:r>
              </a:p>
            </xdr:txBody>
          </xdr:sp>
        </xdr:grpSp>
        <xdr:sp macro="" textlink="">
          <xdr:nvSpPr>
            <xdr:cNvPr id="51" name="CuadroTexto 16"/>
            <xdr:cNvSpPr txBox="1"/>
          </xdr:nvSpPr>
          <xdr:spPr>
            <a:xfrm>
              <a:off x="10258424" y="22717126"/>
              <a:ext cx="1238251" cy="133349"/>
            </a:xfrm>
            <a:prstGeom prst="rect">
              <a:avLst/>
            </a:prstGeom>
            <a:noFill/>
            <a:ln w="9525" cmpd="sng">
              <a:noFill/>
              <a:prstDash val="sysDot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ES" sz="1100" b="1">
                  <a:solidFill>
                    <a:schemeClr val="tx1"/>
                  </a:solidFill>
                </a:rPr>
                <a:t>(21.900 ; 141.456)</a:t>
              </a:r>
            </a:p>
          </xdr:txBody>
        </xdr:sp>
      </xdr:grpSp>
      <xdr:sp macro="" textlink="">
        <xdr:nvSpPr>
          <xdr:cNvPr id="47" name="CuadroTexto 46"/>
          <xdr:cNvSpPr txBox="1"/>
        </xdr:nvSpPr>
        <xdr:spPr>
          <a:xfrm>
            <a:off x="7772400" y="23707725"/>
            <a:ext cx="1019175" cy="190728"/>
          </a:xfrm>
          <a:prstGeom prst="rect">
            <a:avLst/>
          </a:prstGeom>
          <a:noFill/>
          <a:ln w="9525" cmpd="sng">
            <a:noFill/>
            <a:prstDash val="sysDot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1">
                <a:solidFill>
                  <a:schemeClr val="tx1"/>
                </a:solidFill>
              </a:rPr>
              <a:t>(0; 45.000)</a:t>
            </a:r>
          </a:p>
        </xdr:txBody>
      </xdr:sp>
    </xdr:grpSp>
    <xdr:clientData/>
  </xdr:twoCellAnchor>
  <xdr:twoCellAnchor>
    <xdr:from>
      <xdr:col>12</xdr:col>
      <xdr:colOff>276225</xdr:colOff>
      <xdr:row>17</xdr:row>
      <xdr:rowOff>104775</xdr:rowOff>
    </xdr:from>
    <xdr:to>
      <xdr:col>20</xdr:col>
      <xdr:colOff>266700</xdr:colOff>
      <xdr:row>44</xdr:row>
      <xdr:rowOff>95250</xdr:rowOff>
    </xdr:to>
    <xdr:grpSp>
      <xdr:nvGrpSpPr>
        <xdr:cNvPr id="45" name="Grupo 44"/>
        <xdr:cNvGrpSpPr/>
      </xdr:nvGrpSpPr>
      <xdr:grpSpPr>
        <a:xfrm>
          <a:off x="11649075" y="3343275"/>
          <a:ext cx="6896100" cy="5133975"/>
          <a:chOff x="12982576" y="5114924"/>
          <a:chExt cx="6372225" cy="5133975"/>
        </a:xfrm>
      </xdr:grpSpPr>
      <xdr:graphicFrame macro="">
        <xdr:nvGraphicFramePr>
          <xdr:cNvPr id="52" name="Gráfico 51"/>
          <xdr:cNvGraphicFramePr>
            <a:graphicFrameLocks/>
          </xdr:cNvGraphicFramePr>
        </xdr:nvGraphicFramePr>
        <xdr:xfrm>
          <a:off x="12982576" y="5114924"/>
          <a:ext cx="6372225" cy="5133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3" name="CuadroTexto 52"/>
          <xdr:cNvSpPr txBox="1"/>
        </xdr:nvSpPr>
        <xdr:spPr>
          <a:xfrm>
            <a:off x="18192750" y="9496425"/>
            <a:ext cx="1019175" cy="190728"/>
          </a:xfrm>
          <a:prstGeom prst="rect">
            <a:avLst/>
          </a:prstGeom>
          <a:noFill/>
          <a:ln w="9525" cmpd="sng">
            <a:noFill/>
            <a:prstDash val="sysDot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1">
                <a:solidFill>
                  <a:schemeClr val="tx1"/>
                </a:solidFill>
              </a:rPr>
              <a:t>(0; 45.000)</a:t>
            </a:r>
          </a:p>
        </xdr:txBody>
      </xdr:sp>
    </xdr:grpSp>
    <xdr:clientData/>
  </xdr:twoCellAnchor>
  <xdr:twoCellAnchor>
    <xdr:from>
      <xdr:col>5</xdr:col>
      <xdr:colOff>2</xdr:colOff>
      <xdr:row>19</xdr:row>
      <xdr:rowOff>0</xdr:rowOff>
    </xdr:from>
    <xdr:to>
      <xdr:col>12</xdr:col>
      <xdr:colOff>609603</xdr:colOff>
      <xdr:row>45</xdr:row>
      <xdr:rowOff>180975</xdr:rowOff>
    </xdr:to>
    <xdr:grpSp>
      <xdr:nvGrpSpPr>
        <xdr:cNvPr id="54" name="Grupo 53"/>
        <xdr:cNvGrpSpPr/>
      </xdr:nvGrpSpPr>
      <xdr:grpSpPr>
        <a:xfrm>
          <a:off x="5200652" y="3619500"/>
          <a:ext cx="6781801" cy="5133975"/>
          <a:chOff x="12982576" y="5114924"/>
          <a:chExt cx="6372225" cy="5133975"/>
        </a:xfrm>
      </xdr:grpSpPr>
      <xdr:graphicFrame macro="">
        <xdr:nvGraphicFramePr>
          <xdr:cNvPr id="55" name="Gráfico 54"/>
          <xdr:cNvGraphicFramePr>
            <a:graphicFrameLocks/>
          </xdr:cNvGraphicFramePr>
        </xdr:nvGraphicFramePr>
        <xdr:xfrm>
          <a:off x="12982576" y="5114924"/>
          <a:ext cx="6372225" cy="5133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6" name="CuadroTexto 55"/>
          <xdr:cNvSpPr txBox="1"/>
        </xdr:nvSpPr>
        <xdr:spPr>
          <a:xfrm>
            <a:off x="18192750" y="9496425"/>
            <a:ext cx="1019175" cy="190728"/>
          </a:xfrm>
          <a:prstGeom prst="rect">
            <a:avLst/>
          </a:prstGeom>
          <a:noFill/>
          <a:ln w="9525" cmpd="sng">
            <a:noFill/>
            <a:prstDash val="sysDot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100" b="1">
                <a:solidFill>
                  <a:schemeClr val="tx1"/>
                </a:solidFill>
              </a:rPr>
              <a:t>(0; 45.000)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0.11879</cdr:x>
      <cdr:y>0.64374</cdr:y>
    </cdr:from>
    <cdr:to>
      <cdr:x>0.2814</cdr:x>
      <cdr:y>0.68089</cdr:y>
    </cdr:to>
    <cdr:sp macro="" textlink="">
      <cdr:nvSpPr>
        <cdr:cNvPr id="2" name="CuadroTexto 16"/>
        <cdr:cNvSpPr txBox="1"/>
      </cdr:nvSpPr>
      <cdr:spPr>
        <a:xfrm xmlns:a="http://schemas.openxmlformats.org/drawingml/2006/main">
          <a:off x="756971" y="3304935"/>
          <a:ext cx="1036188" cy="190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tx1"/>
              </a:solidFill>
            </a:rPr>
            <a:t>(32.143 ; 0)</a:t>
          </a:r>
        </a:p>
      </cdr:txBody>
    </cdr:sp>
  </cdr:relSizeAnchor>
  <cdr:relSizeAnchor xmlns:cdr="http://schemas.openxmlformats.org/drawingml/2006/chartDrawing">
    <cdr:from>
      <cdr:x>0.45643</cdr:x>
      <cdr:y>0.94654</cdr:y>
    </cdr:from>
    <cdr:to>
      <cdr:x>0.68389</cdr:x>
      <cdr:y>0.99807</cdr:y>
    </cdr:to>
    <cdr:sp macro="" textlink="">
      <cdr:nvSpPr>
        <cdr:cNvPr id="4" name="CuadroTexto 16"/>
        <cdr:cNvSpPr txBox="1"/>
      </cdr:nvSpPr>
      <cdr:spPr>
        <a:xfrm xmlns:a="http://schemas.openxmlformats.org/drawingml/2006/main">
          <a:off x="2860675" y="4859502"/>
          <a:ext cx="1425574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</a:rPr>
            <a:t>Pernoctaciones MP</a:t>
          </a:r>
        </a:p>
      </cdr:txBody>
    </cdr:sp>
  </cdr:relSizeAnchor>
  <cdr:relSizeAnchor xmlns:cdr="http://schemas.openxmlformats.org/drawingml/2006/chartDrawing">
    <cdr:from>
      <cdr:x>0.00639</cdr:x>
      <cdr:y>0.30983</cdr:y>
    </cdr:from>
    <cdr:to>
      <cdr:x>0.05034</cdr:x>
      <cdr:y>0.58634</cdr:y>
    </cdr:to>
    <cdr:sp macro="" textlink="">
      <cdr:nvSpPr>
        <cdr:cNvPr id="5" name="CuadroTexto 16"/>
        <cdr:cNvSpPr txBox="1"/>
      </cdr:nvSpPr>
      <cdr:spPr>
        <a:xfrm xmlns:a="http://schemas.openxmlformats.org/drawingml/2006/main" rot="16200000">
          <a:off x="-485066" y="1993201"/>
          <a:ext cx="1311635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</a:rPr>
            <a:t>Pernoctaciones TI</a:t>
          </a:r>
        </a:p>
      </cdr:txBody>
    </cdr:sp>
  </cdr:relSizeAnchor>
  <cdr:relSizeAnchor xmlns:cdr="http://schemas.openxmlformats.org/drawingml/2006/chartDrawing">
    <cdr:from>
      <cdr:x>0.18757</cdr:x>
      <cdr:y>0.71861</cdr:y>
    </cdr:from>
    <cdr:to>
      <cdr:x>0.39843</cdr:x>
      <cdr:y>0.75345</cdr:y>
    </cdr:to>
    <cdr:sp macro="" textlink="">
      <cdr:nvSpPr>
        <cdr:cNvPr id="6" name="CuadroTexto 16"/>
        <cdr:cNvSpPr txBox="1"/>
      </cdr:nvSpPr>
      <cdr:spPr>
        <a:xfrm xmlns:a="http://schemas.openxmlformats.org/drawingml/2006/main">
          <a:off x="1134494" y="3470293"/>
          <a:ext cx="1275331" cy="168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tx1"/>
              </a:solidFill>
            </a:rPr>
            <a:t>(21.900 ; 14.340)</a:t>
          </a:r>
        </a:p>
      </cdr:txBody>
    </cdr:sp>
  </cdr:relSizeAnchor>
  <cdr:relSizeAnchor xmlns:cdr="http://schemas.openxmlformats.org/drawingml/2006/chartDrawing">
    <cdr:from>
      <cdr:x>0.25671</cdr:x>
      <cdr:y>0.81695</cdr:y>
    </cdr:from>
    <cdr:to>
      <cdr:x>0.44617</cdr:x>
      <cdr:y>0.85158</cdr:y>
    </cdr:to>
    <cdr:sp macro="" textlink="">
      <cdr:nvSpPr>
        <cdr:cNvPr id="7" name="CuadroTexto 16"/>
        <cdr:cNvSpPr txBox="1"/>
      </cdr:nvSpPr>
      <cdr:spPr>
        <a:xfrm xmlns:a="http://schemas.openxmlformats.org/drawingml/2006/main">
          <a:off x="1635823" y="4194196"/>
          <a:ext cx="1207281" cy="177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tx1"/>
              </a:solidFill>
            </a:rPr>
            <a:t>(8.679 ; 32.850)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0.45643</cdr:x>
      <cdr:y>0.94654</cdr:y>
    </cdr:from>
    <cdr:to>
      <cdr:x>0.68389</cdr:x>
      <cdr:y>0.99807</cdr:y>
    </cdr:to>
    <cdr:sp macro="" textlink="">
      <cdr:nvSpPr>
        <cdr:cNvPr id="4" name="CuadroTexto 16"/>
        <cdr:cNvSpPr txBox="1"/>
      </cdr:nvSpPr>
      <cdr:spPr>
        <a:xfrm xmlns:a="http://schemas.openxmlformats.org/drawingml/2006/main">
          <a:off x="2860675" y="4859502"/>
          <a:ext cx="1425574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</a:rPr>
            <a:t>Pernoctaciones MP</a:t>
          </a:r>
        </a:p>
      </cdr:txBody>
    </cdr:sp>
  </cdr:relSizeAnchor>
  <cdr:relSizeAnchor xmlns:cdr="http://schemas.openxmlformats.org/drawingml/2006/chartDrawing">
    <cdr:from>
      <cdr:x>0.00726</cdr:x>
      <cdr:y>0.30983</cdr:y>
    </cdr:from>
    <cdr:to>
      <cdr:x>0.04947</cdr:x>
      <cdr:y>0.55423</cdr:y>
    </cdr:to>
    <cdr:sp macro="" textlink="">
      <cdr:nvSpPr>
        <cdr:cNvPr id="5" name="CuadroTexto 16"/>
        <cdr:cNvSpPr txBox="1"/>
      </cdr:nvSpPr>
      <cdr:spPr>
        <a:xfrm xmlns:a="http://schemas.openxmlformats.org/drawingml/2006/main" rot="16200000">
          <a:off x="-449562" y="2085758"/>
          <a:ext cx="1254724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</a:rPr>
            <a:t>Pernoctaciones TI</a:t>
          </a:r>
        </a:p>
      </cdr:txBody>
    </cdr:sp>
  </cdr:relSizeAnchor>
  <cdr:relSizeAnchor xmlns:cdr="http://schemas.openxmlformats.org/drawingml/2006/chartDrawing">
    <cdr:from>
      <cdr:x>0.13374</cdr:x>
      <cdr:y>0.07602</cdr:y>
    </cdr:from>
    <cdr:to>
      <cdr:x>0.56687</cdr:x>
      <cdr:y>0.37291</cdr:y>
    </cdr:to>
    <cdr:grpSp>
      <cdr:nvGrpSpPr>
        <cdr:cNvPr id="3" name="Grupo 2"/>
        <cdr:cNvGrpSpPr/>
      </cdr:nvGrpSpPr>
      <cdr:grpSpPr>
        <a:xfrm xmlns:a="http://schemas.openxmlformats.org/drawingml/2006/main">
          <a:off x="922284" y="390285"/>
          <a:ext cx="2986908" cy="1524226"/>
          <a:chOff x="852221" y="390285"/>
          <a:chExt cx="2760002" cy="1524226"/>
        </a:xfrm>
      </cdr:grpSpPr>
      <cdr:sp macro="" textlink="">
        <cdr:nvSpPr>
          <cdr:cNvPr id="2" name="CuadroTexto 16"/>
          <cdr:cNvSpPr txBox="1"/>
        </cdr:nvSpPr>
        <cdr:spPr>
          <a:xfrm xmlns:a="http://schemas.openxmlformats.org/drawingml/2006/main">
            <a:off x="852221" y="390285"/>
            <a:ext cx="1036188" cy="1907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  <a:prstDash val="sysDot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100" b="1">
                <a:solidFill>
                  <a:schemeClr val="tx1"/>
                </a:solidFill>
              </a:rPr>
              <a:t>(32.143 ; 0)</a:t>
            </a:r>
          </a:p>
        </cdr:txBody>
      </cdr:sp>
      <cdr:sp macro="" textlink="">
        <cdr:nvSpPr>
          <cdr:cNvPr id="6" name="CuadroTexto 16"/>
          <cdr:cNvSpPr txBox="1"/>
        </cdr:nvSpPr>
        <cdr:spPr>
          <a:xfrm xmlns:a="http://schemas.openxmlformats.org/drawingml/2006/main">
            <a:off x="2404941" y="1736721"/>
            <a:ext cx="1207282" cy="1777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  <a:prstDash val="sysDot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100" b="1">
                <a:solidFill>
                  <a:schemeClr val="tx1"/>
                </a:solidFill>
              </a:rPr>
              <a:t>(21.900 ; 14.340)</a:t>
            </a:r>
          </a:p>
        </cdr:txBody>
      </cdr:sp>
    </cdr:grpSp>
  </cdr:relSizeAnchor>
  <cdr:relSizeAnchor xmlns:cdr="http://schemas.openxmlformats.org/drawingml/2006/chartDrawing">
    <cdr:from>
      <cdr:x>0.49139</cdr:x>
      <cdr:y>0.6945</cdr:y>
    </cdr:from>
    <cdr:to>
      <cdr:x>0.68085</cdr:x>
      <cdr:y>0.72913</cdr:y>
    </cdr:to>
    <cdr:sp macro="" textlink="">
      <cdr:nvSpPr>
        <cdr:cNvPr id="7" name="CuadroTexto 16"/>
        <cdr:cNvSpPr txBox="1"/>
      </cdr:nvSpPr>
      <cdr:spPr>
        <a:xfrm xmlns:a="http://schemas.openxmlformats.org/drawingml/2006/main">
          <a:off x="3079750" y="3565525"/>
          <a:ext cx="1187449" cy="1778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 b="1">
              <a:solidFill>
                <a:schemeClr val="tx1"/>
              </a:solidFill>
            </a:rPr>
            <a:t>(8.679 ; 32.850)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0.45643</cdr:x>
      <cdr:y>0.94654</cdr:y>
    </cdr:from>
    <cdr:to>
      <cdr:x>0.68389</cdr:x>
      <cdr:y>0.99807</cdr:y>
    </cdr:to>
    <cdr:sp macro="" textlink="">
      <cdr:nvSpPr>
        <cdr:cNvPr id="4" name="CuadroTexto 16"/>
        <cdr:cNvSpPr txBox="1"/>
      </cdr:nvSpPr>
      <cdr:spPr>
        <a:xfrm xmlns:a="http://schemas.openxmlformats.org/drawingml/2006/main">
          <a:off x="2860675" y="4859502"/>
          <a:ext cx="1425574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</a:rPr>
            <a:t>Pernoctaciones MP</a:t>
          </a:r>
        </a:p>
      </cdr:txBody>
    </cdr:sp>
  </cdr:relSizeAnchor>
  <cdr:relSizeAnchor xmlns:cdr="http://schemas.openxmlformats.org/drawingml/2006/chartDrawing">
    <cdr:from>
      <cdr:x>0.00726</cdr:x>
      <cdr:y>0.30983</cdr:y>
    </cdr:from>
    <cdr:to>
      <cdr:x>0.04947</cdr:x>
      <cdr:y>0.55423</cdr:y>
    </cdr:to>
    <cdr:sp macro="" textlink="">
      <cdr:nvSpPr>
        <cdr:cNvPr id="5" name="CuadroTexto 16"/>
        <cdr:cNvSpPr txBox="1"/>
      </cdr:nvSpPr>
      <cdr:spPr>
        <a:xfrm xmlns:a="http://schemas.openxmlformats.org/drawingml/2006/main" rot="16200000">
          <a:off x="-449562" y="2085758"/>
          <a:ext cx="1254724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  <a:prstDash val="sysDot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2">
                  <a:lumMod val="60000"/>
                  <a:lumOff val="40000"/>
                </a:schemeClr>
              </a:solidFill>
            </a:rPr>
            <a:t>Pernoctaciones TI</a:t>
          </a:r>
        </a:p>
      </cdr:txBody>
    </cdr:sp>
  </cdr:relSizeAnchor>
  <cdr:relSizeAnchor xmlns:cdr="http://schemas.openxmlformats.org/drawingml/2006/chartDrawing">
    <cdr:from>
      <cdr:x>0.13374</cdr:x>
      <cdr:y>0.07602</cdr:y>
    </cdr:from>
    <cdr:to>
      <cdr:x>0.29635</cdr:x>
      <cdr:y>0.11317</cdr:y>
    </cdr:to>
    <cdr:grpSp>
      <cdr:nvGrpSpPr>
        <cdr:cNvPr id="3" name="Grupo 2"/>
        <cdr:cNvGrpSpPr/>
      </cdr:nvGrpSpPr>
      <cdr:grpSpPr>
        <a:xfrm xmlns:a="http://schemas.openxmlformats.org/drawingml/2006/main">
          <a:off x="906998" y="390285"/>
          <a:ext cx="1102789" cy="190727"/>
          <a:chOff x="852221" y="390285"/>
          <a:chExt cx="1036188" cy="190727"/>
        </a:xfrm>
      </cdr:grpSpPr>
      <cdr:sp macro="" textlink="">
        <cdr:nvSpPr>
          <cdr:cNvPr id="2" name="CuadroTexto 16"/>
          <cdr:cNvSpPr txBox="1"/>
        </cdr:nvSpPr>
        <cdr:spPr>
          <a:xfrm xmlns:a="http://schemas.openxmlformats.org/drawingml/2006/main">
            <a:off x="852221" y="390285"/>
            <a:ext cx="1036188" cy="1907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  <a:prstDash val="sysDot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100" b="1">
                <a:solidFill>
                  <a:schemeClr val="tx1"/>
                </a:solidFill>
              </a:rPr>
              <a:t>(32.143 ; 0)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workbookViewId="0">
      <selection activeCell="G7" sqref="G7"/>
    </sheetView>
  </sheetViews>
  <sheetFormatPr baseColWidth="10" defaultRowHeight="15" x14ac:dyDescent="0.25"/>
  <cols>
    <col min="1" max="1" width="1.28515625" customWidth="1"/>
    <col min="2" max="2" width="14.7109375" customWidth="1"/>
    <col min="3" max="3" width="16.5703125" customWidth="1"/>
    <col min="4" max="5" width="14.28515625" customWidth="1"/>
    <col min="6" max="6" width="11" customWidth="1"/>
    <col min="7" max="7" width="14.7109375" bestFit="1" customWidth="1"/>
  </cols>
  <sheetData>
    <row r="1" spans="2:18" x14ac:dyDescent="0.25">
      <c r="B1" s="37" t="s">
        <v>30</v>
      </c>
      <c r="C1" s="37"/>
      <c r="D1" s="37"/>
    </row>
    <row r="3" spans="2:18" x14ac:dyDescent="0.25">
      <c r="B3" s="140" t="s">
        <v>31</v>
      </c>
      <c r="C3" s="140"/>
      <c r="D3" s="140"/>
      <c r="E3" s="140"/>
    </row>
    <row r="4" spans="2:18" x14ac:dyDescent="0.25">
      <c r="B4" s="123" t="s">
        <v>41</v>
      </c>
      <c r="C4" s="123"/>
    </row>
    <row r="5" spans="2:18" x14ac:dyDescent="0.25">
      <c r="B5" s="121" t="s">
        <v>29</v>
      </c>
      <c r="C5" s="122"/>
      <c r="D5" s="146">
        <v>200</v>
      </c>
      <c r="E5" s="147"/>
    </row>
    <row r="6" spans="2:18" x14ac:dyDescent="0.25">
      <c r="B6" s="121" t="s">
        <v>39</v>
      </c>
      <c r="C6" s="122"/>
      <c r="D6" s="148">
        <v>0.75</v>
      </c>
      <c r="E6" s="149"/>
    </row>
    <row r="7" spans="2:18" x14ac:dyDescent="0.25">
      <c r="B7" s="150" t="s">
        <v>49</v>
      </c>
      <c r="C7" s="66" t="s">
        <v>48</v>
      </c>
      <c r="D7" s="152">
        <f>D5*365</f>
        <v>73000</v>
      </c>
      <c r="E7" s="153"/>
    </row>
    <row r="8" spans="2:18" x14ac:dyDescent="0.25">
      <c r="B8" s="151"/>
      <c r="C8" s="67" t="s">
        <v>47</v>
      </c>
      <c r="D8" s="125">
        <f>D6*D5*365</f>
        <v>54750</v>
      </c>
      <c r="E8" s="126"/>
      <c r="F8" s="40"/>
      <c r="M8" s="38" t="s">
        <v>36</v>
      </c>
    </row>
    <row r="9" spans="2:18" x14ac:dyDescent="0.25">
      <c r="B9" s="142" t="s">
        <v>43</v>
      </c>
      <c r="C9" s="143"/>
      <c r="D9" s="43" t="s">
        <v>32</v>
      </c>
      <c r="E9" s="35" t="s">
        <v>33</v>
      </c>
      <c r="M9" s="124" t="s">
        <v>37</v>
      </c>
    </row>
    <row r="10" spans="2:18" x14ac:dyDescent="0.25">
      <c r="B10" s="144"/>
      <c r="C10" s="145"/>
      <c r="D10" s="44">
        <v>0.6</v>
      </c>
      <c r="E10" s="45">
        <v>0.4</v>
      </c>
      <c r="M10" s="124"/>
    </row>
    <row r="11" spans="2:18" x14ac:dyDescent="0.25">
      <c r="B11" s="121" t="s">
        <v>3</v>
      </c>
      <c r="C11" s="122"/>
      <c r="D11" s="46">
        <f>D10*D8</f>
        <v>32850</v>
      </c>
      <c r="E11" s="47">
        <f>E10*D8</f>
        <v>21900</v>
      </c>
      <c r="F11" s="41"/>
      <c r="G11" s="71">
        <f>SUM(D11:F11)</f>
        <v>54750</v>
      </c>
      <c r="M11" s="39" t="s">
        <v>35</v>
      </c>
    </row>
    <row r="12" spans="2:18" x14ac:dyDescent="0.25">
      <c r="R12" s="16"/>
    </row>
    <row r="13" spans="2:18" x14ac:dyDescent="0.25">
      <c r="B13" s="123" t="s">
        <v>42</v>
      </c>
      <c r="C13" s="123"/>
      <c r="D13" s="36" t="str">
        <f>D9</f>
        <v>M.P</v>
      </c>
      <c r="E13" s="36" t="str">
        <f>E9</f>
        <v>T.I</v>
      </c>
      <c r="F13" s="3">
        <v>100000</v>
      </c>
      <c r="G13" s="3">
        <v>70000</v>
      </c>
      <c r="I13" s="135">
        <f>(D14*D11)+(E11*E14)</f>
        <v>1522050</v>
      </c>
      <c r="J13" s="135"/>
    </row>
    <row r="14" spans="2:18" x14ac:dyDescent="0.25">
      <c r="B14" s="121" t="s">
        <v>40</v>
      </c>
      <c r="C14" s="122"/>
      <c r="D14" s="48">
        <v>25</v>
      </c>
      <c r="E14" s="49">
        <v>32</v>
      </c>
      <c r="F14" s="137">
        <v>600</v>
      </c>
      <c r="G14" s="137">
        <v>1400</v>
      </c>
    </row>
    <row r="15" spans="2:18" x14ac:dyDescent="0.25">
      <c r="B15" s="127" t="s">
        <v>44</v>
      </c>
      <c r="C15" s="128"/>
      <c r="D15" s="131">
        <v>15</v>
      </c>
      <c r="E15" s="133">
        <v>18</v>
      </c>
      <c r="F15" s="137"/>
      <c r="G15" s="137"/>
      <c r="I15" s="135">
        <f>(D15*D11)+(E11*E15)</f>
        <v>886950</v>
      </c>
      <c r="J15" s="135"/>
    </row>
    <row r="16" spans="2:18" x14ac:dyDescent="0.25">
      <c r="B16" s="129"/>
      <c r="C16" s="130"/>
      <c r="D16" s="132"/>
      <c r="E16" s="134"/>
      <c r="I16" s="135">
        <v>250000</v>
      </c>
      <c r="J16" s="135"/>
    </row>
    <row r="17" spans="2:10" x14ac:dyDescent="0.25">
      <c r="B17" s="121" t="s">
        <v>34</v>
      </c>
      <c r="C17" s="122"/>
      <c r="D17" s="50">
        <f>D14-D15</f>
        <v>10</v>
      </c>
      <c r="E17" s="51">
        <f>E14-E15</f>
        <v>14</v>
      </c>
      <c r="F17" s="135">
        <v>48000000</v>
      </c>
      <c r="G17" s="135"/>
    </row>
    <row r="18" spans="2:10" x14ac:dyDescent="0.25">
      <c r="B18" s="121" t="s">
        <v>2</v>
      </c>
      <c r="C18" s="122"/>
      <c r="D18" s="138">
        <v>450000</v>
      </c>
      <c r="E18" s="139"/>
      <c r="F18" s="135">
        <v>36000000</v>
      </c>
      <c r="G18" s="135"/>
      <c r="I18" s="154">
        <f>I13-I15-I16</f>
        <v>385100</v>
      </c>
      <c r="J18" s="154"/>
    </row>
    <row r="19" spans="2:10" x14ac:dyDescent="0.25">
      <c r="B19" s="121" t="s">
        <v>12</v>
      </c>
      <c r="C19" s="122"/>
      <c r="D19" s="138">
        <v>150000</v>
      </c>
      <c r="E19" s="139"/>
      <c r="F19" s="42">
        <v>4200000</v>
      </c>
      <c r="G19" s="42">
        <v>7800000</v>
      </c>
    </row>
    <row r="20" spans="2:10" x14ac:dyDescent="0.25">
      <c r="B20" s="121" t="s">
        <v>13</v>
      </c>
      <c r="C20" s="122"/>
      <c r="D20" s="52">
        <v>125000</v>
      </c>
      <c r="E20" s="53">
        <v>175000</v>
      </c>
      <c r="H20" s="141"/>
      <c r="I20" s="141" t="s">
        <v>38</v>
      </c>
    </row>
    <row r="21" spans="2:10" x14ac:dyDescent="0.25">
      <c r="F21" s="136">
        <f>D18-D19-D20-E20</f>
        <v>0</v>
      </c>
      <c r="G21" s="136"/>
    </row>
    <row r="22" spans="2:10" x14ac:dyDescent="0.25">
      <c r="F22" s="16">
        <f>D18-D19-D20</f>
        <v>175000</v>
      </c>
    </row>
    <row r="24" spans="2:10" x14ac:dyDescent="0.25">
      <c r="C24" t="s">
        <v>55</v>
      </c>
      <c r="D24" s="3">
        <f>'Solucion '!C28</f>
        <v>45000</v>
      </c>
      <c r="E24" s="3">
        <f>'Solucion '!D28</f>
        <v>32142.857142857141</v>
      </c>
    </row>
  </sheetData>
  <mergeCells count="33">
    <mergeCell ref="B3:E3"/>
    <mergeCell ref="H20:I20"/>
    <mergeCell ref="B9:C10"/>
    <mergeCell ref="D5:E5"/>
    <mergeCell ref="D6:E6"/>
    <mergeCell ref="B19:C19"/>
    <mergeCell ref="B20:C20"/>
    <mergeCell ref="I15:J15"/>
    <mergeCell ref="I13:J13"/>
    <mergeCell ref="B4:C4"/>
    <mergeCell ref="B7:B8"/>
    <mergeCell ref="D7:E7"/>
    <mergeCell ref="B17:C17"/>
    <mergeCell ref="B18:C18"/>
    <mergeCell ref="I18:J18"/>
    <mergeCell ref="B5:C5"/>
    <mergeCell ref="B15:C16"/>
    <mergeCell ref="D15:D16"/>
    <mergeCell ref="E15:E16"/>
    <mergeCell ref="I16:J16"/>
    <mergeCell ref="F21:G21"/>
    <mergeCell ref="F14:F15"/>
    <mergeCell ref="G14:G15"/>
    <mergeCell ref="F17:G17"/>
    <mergeCell ref="D18:E18"/>
    <mergeCell ref="D19:E19"/>
    <mergeCell ref="F18:G18"/>
    <mergeCell ref="B6:C6"/>
    <mergeCell ref="B13:C13"/>
    <mergeCell ref="B14:C14"/>
    <mergeCell ref="B11:C11"/>
    <mergeCell ref="M9:M10"/>
    <mergeCell ref="D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0"/>
  <sheetViews>
    <sheetView tabSelected="1" zoomScaleNormal="100" workbookViewId="0">
      <selection activeCell="F2" sqref="F2:N9"/>
    </sheetView>
  </sheetViews>
  <sheetFormatPr baseColWidth="10" defaultRowHeight="15" x14ac:dyDescent="0.25"/>
  <cols>
    <col min="1" max="1" width="14.28515625" customWidth="1"/>
    <col min="2" max="2" width="17.7109375" customWidth="1"/>
    <col min="3" max="3" width="16" customWidth="1"/>
    <col min="4" max="4" width="18.5703125" customWidth="1"/>
    <col min="7" max="7" width="12.7109375" customWidth="1"/>
    <col min="8" max="8" width="14.42578125" customWidth="1"/>
    <col min="10" max="10" width="16.28515625" customWidth="1"/>
    <col min="11" max="11" width="14.85546875" customWidth="1"/>
    <col min="13" max="13" width="13.42578125" customWidth="1"/>
    <col min="14" max="14" width="13" customWidth="1"/>
    <col min="15" max="15" width="12.5703125" customWidth="1"/>
    <col min="16" max="16" width="15" customWidth="1"/>
    <col min="17" max="17" width="13.85546875" customWidth="1"/>
    <col min="18" max="18" width="12.85546875" bestFit="1" customWidth="1"/>
  </cols>
  <sheetData>
    <row r="3" spans="1:12" x14ac:dyDescent="0.25">
      <c r="A3" s="140" t="s">
        <v>30</v>
      </c>
      <c r="B3" s="140"/>
      <c r="C3" s="140"/>
      <c r="D3" s="140"/>
    </row>
    <row r="4" spans="1:12" x14ac:dyDescent="0.25">
      <c r="A4" s="123" t="s">
        <v>41</v>
      </c>
      <c r="B4" s="123"/>
    </row>
    <row r="5" spans="1:12" x14ac:dyDescent="0.25">
      <c r="A5" s="121" t="s">
        <v>29</v>
      </c>
      <c r="B5" s="122"/>
      <c r="C5" s="164">
        <f>Enunciado!D5</f>
        <v>200</v>
      </c>
      <c r="D5" s="165"/>
    </row>
    <row r="6" spans="1:12" x14ac:dyDescent="0.25">
      <c r="A6" s="121" t="s">
        <v>39</v>
      </c>
      <c r="B6" s="122"/>
      <c r="C6" s="166">
        <f>Enunciado!D6</f>
        <v>0.75</v>
      </c>
      <c r="D6" s="167"/>
    </row>
    <row r="7" spans="1:12" x14ac:dyDescent="0.25">
      <c r="A7" s="121" t="str">
        <f>" Pernoctaciones - "&amp;Enunciado!C7</f>
        <v xml:space="preserve"> Pernoctaciones - Potencial </v>
      </c>
      <c r="B7" s="122"/>
      <c r="C7" s="191">
        <f>C5*365</f>
        <v>73000</v>
      </c>
      <c r="D7" s="192"/>
    </row>
    <row r="8" spans="1:12" x14ac:dyDescent="0.25">
      <c r="A8" s="121" t="str">
        <f>" Pernoctaciones - "&amp;Enunciado!C8</f>
        <v xml:space="preserve"> Pernoctaciones - Ocupación media</v>
      </c>
      <c r="B8" s="122"/>
      <c r="C8" s="191">
        <f>Enunciado!D8</f>
        <v>54750</v>
      </c>
      <c r="D8" s="192"/>
    </row>
    <row r="9" spans="1:12" x14ac:dyDescent="0.25">
      <c r="A9" s="193" t="s">
        <v>43</v>
      </c>
      <c r="B9" s="194"/>
      <c r="C9" s="43" t="str">
        <f>Enunciado!D9</f>
        <v>M.P</v>
      </c>
      <c r="D9" s="35" t="str">
        <f>Enunciado!E9</f>
        <v>T.I</v>
      </c>
    </row>
    <row r="10" spans="1:12" x14ac:dyDescent="0.25">
      <c r="A10" s="195" t="str">
        <f>"Según "&amp;Enunciado!C8</f>
        <v>Según Ocupación media</v>
      </c>
      <c r="B10" s="196"/>
      <c r="C10" s="54">
        <f>Enunciado!D10</f>
        <v>0.6</v>
      </c>
      <c r="D10" s="55">
        <f>Enunciado!E10</f>
        <v>0.4</v>
      </c>
    </row>
    <row r="11" spans="1:12" x14ac:dyDescent="0.25">
      <c r="A11" s="121" t="s">
        <v>3</v>
      </c>
      <c r="B11" s="122"/>
      <c r="C11" s="56">
        <f>Enunciado!D11</f>
        <v>32850</v>
      </c>
      <c r="D11" s="57">
        <f>Enunciado!E11</f>
        <v>21900</v>
      </c>
      <c r="G11" s="161" t="s">
        <v>56</v>
      </c>
      <c r="H11" s="161"/>
      <c r="I11" s="161"/>
      <c r="J11" s="161"/>
      <c r="K11" s="161"/>
      <c r="L11" s="161"/>
    </row>
    <row r="12" spans="1:12" x14ac:dyDescent="0.25">
      <c r="G12" s="157" t="s">
        <v>57</v>
      </c>
      <c r="H12" s="158"/>
      <c r="I12" s="162" t="s">
        <v>0</v>
      </c>
      <c r="J12" s="162" t="s">
        <v>1</v>
      </c>
      <c r="K12" s="162" t="s">
        <v>6</v>
      </c>
      <c r="L12" s="162" t="s">
        <v>5</v>
      </c>
    </row>
    <row r="13" spans="1:12" x14ac:dyDescent="0.25">
      <c r="A13" s="123" t="s">
        <v>42</v>
      </c>
      <c r="B13" s="123"/>
      <c r="C13" s="58" t="str">
        <f>C9</f>
        <v>M.P</v>
      </c>
      <c r="D13" s="58" t="str">
        <f>D9</f>
        <v>T.I</v>
      </c>
      <c r="G13" s="17" t="str">
        <f>C27</f>
        <v>M.P</v>
      </c>
      <c r="H13" s="18" t="str">
        <f>D27</f>
        <v>T.I</v>
      </c>
      <c r="I13" s="163"/>
      <c r="J13" s="163"/>
      <c r="K13" s="163"/>
      <c r="L13" s="163"/>
    </row>
    <row r="14" spans="1:12" x14ac:dyDescent="0.25">
      <c r="A14" s="121" t="s">
        <v>40</v>
      </c>
      <c r="B14" s="122"/>
      <c r="C14" s="50">
        <f>Enunciado!D14</f>
        <v>25</v>
      </c>
      <c r="D14" s="51">
        <f>Enunciado!E14</f>
        <v>32</v>
      </c>
      <c r="F14" s="19" t="str">
        <f>A32</f>
        <v>Valor extremo 1:</v>
      </c>
      <c r="G14" s="75">
        <f>C32</f>
        <v>45000</v>
      </c>
      <c r="H14" s="74">
        <f>D32</f>
        <v>0</v>
      </c>
      <c r="I14" s="20">
        <f>G14*$C$14+H14*$D$14</f>
        <v>1125000</v>
      </c>
      <c r="J14" s="20">
        <f>G14*$C$15+H14*$D$15</f>
        <v>675000</v>
      </c>
      <c r="K14" s="20">
        <f>$C$18</f>
        <v>450000</v>
      </c>
      <c r="L14" s="20">
        <f>I14-J14-K14</f>
        <v>0</v>
      </c>
    </row>
    <row r="15" spans="1:12" x14ac:dyDescent="0.25">
      <c r="A15" s="127" t="s">
        <v>44</v>
      </c>
      <c r="B15" s="128"/>
      <c r="C15" s="197">
        <f>Enunciado!D15</f>
        <v>15</v>
      </c>
      <c r="D15" s="199">
        <f>Enunciado!E15</f>
        <v>18</v>
      </c>
      <c r="F15" s="19" t="str">
        <f>A33</f>
        <v>Valor extremo 2:</v>
      </c>
      <c r="G15" s="75">
        <f>C33</f>
        <v>0</v>
      </c>
      <c r="H15" s="74">
        <f>D33</f>
        <v>32142.857142857141</v>
      </c>
      <c r="I15" s="20">
        <f>G15*$C$14+H15*$D$14</f>
        <v>1028571.4285714285</v>
      </c>
      <c r="J15" s="20">
        <f>G15*$C$15+H15*$D$15</f>
        <v>578571.42857142852</v>
      </c>
      <c r="K15" s="20">
        <f t="shared" ref="K15:K17" si="0">$C$18</f>
        <v>450000</v>
      </c>
      <c r="L15" s="20">
        <f>I15-J15-K15</f>
        <v>0</v>
      </c>
    </row>
    <row r="16" spans="1:12" x14ac:dyDescent="0.25">
      <c r="A16" s="129"/>
      <c r="B16" s="130"/>
      <c r="C16" s="198"/>
      <c r="D16" s="200"/>
      <c r="F16" s="19" t="s">
        <v>7</v>
      </c>
      <c r="G16" s="75">
        <f>C41</f>
        <v>32850</v>
      </c>
      <c r="H16" s="74">
        <f>D41</f>
        <v>8678.5714285714294</v>
      </c>
      <c r="I16" s="20">
        <f>G16*$C$14+H16*$D$14</f>
        <v>1098964.2857142857</v>
      </c>
      <c r="J16" s="20">
        <f>G16*$C$15+H16*$D$15</f>
        <v>648964.28571428568</v>
      </c>
      <c r="K16" s="20">
        <f t="shared" si="0"/>
        <v>450000</v>
      </c>
      <c r="L16" s="20">
        <f>I16-J16-K16</f>
        <v>0</v>
      </c>
    </row>
    <row r="17" spans="1:12" x14ac:dyDescent="0.25">
      <c r="A17" s="121" t="s">
        <v>34</v>
      </c>
      <c r="B17" s="122"/>
      <c r="C17" s="50">
        <f>C14-C15</f>
        <v>10</v>
      </c>
      <c r="D17" s="51">
        <f>D14-D15</f>
        <v>14</v>
      </c>
      <c r="F17" s="19" t="s">
        <v>8</v>
      </c>
      <c r="G17" s="75">
        <f>C43</f>
        <v>14339.999999999996</v>
      </c>
      <c r="H17" s="74">
        <f>D43</f>
        <v>21900</v>
      </c>
      <c r="I17" s="20">
        <f>G17*$C$14+H17*$D$14</f>
        <v>1059300</v>
      </c>
      <c r="J17" s="20">
        <f>G17*$C$15+H17*$D$15</f>
        <v>609300</v>
      </c>
      <c r="K17" s="20">
        <f t="shared" si="0"/>
        <v>450000</v>
      </c>
      <c r="L17" s="20">
        <f>I17-J17-K17</f>
        <v>0</v>
      </c>
    </row>
    <row r="18" spans="1:12" x14ac:dyDescent="0.25">
      <c r="A18" s="121" t="s">
        <v>2</v>
      </c>
      <c r="B18" s="122"/>
      <c r="C18" s="188">
        <f>Enunciado!D18</f>
        <v>450000</v>
      </c>
      <c r="D18" s="189"/>
    </row>
    <row r="19" spans="1:12" x14ac:dyDescent="0.25">
      <c r="A19" s="121" t="s">
        <v>12</v>
      </c>
      <c r="B19" s="122"/>
      <c r="C19" s="188">
        <f>Enunciado!D19</f>
        <v>150000</v>
      </c>
      <c r="D19" s="189"/>
      <c r="G19" s="65"/>
      <c r="H19" s="65"/>
    </row>
    <row r="20" spans="1:12" x14ac:dyDescent="0.25">
      <c r="A20" s="121" t="s">
        <v>13</v>
      </c>
      <c r="B20" s="122"/>
      <c r="C20" s="59">
        <f>Enunciado!D20</f>
        <v>125000</v>
      </c>
      <c r="D20" s="60">
        <f>Enunciado!E20</f>
        <v>175000</v>
      </c>
    </row>
    <row r="22" spans="1:12" x14ac:dyDescent="0.25">
      <c r="A22" s="201" t="s">
        <v>46</v>
      </c>
      <c r="B22" s="201"/>
      <c r="C22" s="201"/>
      <c r="D22" s="201"/>
    </row>
    <row r="23" spans="1:12" x14ac:dyDescent="0.25">
      <c r="A23" s="201"/>
      <c r="B23" s="201"/>
      <c r="C23" s="201"/>
      <c r="D23" s="201"/>
    </row>
    <row r="24" spans="1:12" x14ac:dyDescent="0.25">
      <c r="A24" s="172" t="s">
        <v>9</v>
      </c>
      <c r="B24" s="172"/>
      <c r="C24" s="172"/>
      <c r="D24" s="172"/>
    </row>
    <row r="26" spans="1:12" x14ac:dyDescent="0.25">
      <c r="C26" s="173" t="s">
        <v>45</v>
      </c>
      <c r="D26" s="174"/>
    </row>
    <row r="27" spans="1:12" x14ac:dyDescent="0.25">
      <c r="C27" s="22" t="str">
        <f>Enunciado!$D$9</f>
        <v>M.P</v>
      </c>
      <c r="D27" s="21" t="str">
        <f>Enunciado!$E$9</f>
        <v>T.I</v>
      </c>
    </row>
    <row r="28" spans="1:12" x14ac:dyDescent="0.25">
      <c r="A28" s="175" t="s">
        <v>4</v>
      </c>
      <c r="B28" s="176"/>
      <c r="C28" s="61">
        <f>C18/C17</f>
        <v>45000</v>
      </c>
      <c r="D28" s="62">
        <f>C18/D17</f>
        <v>32142.857142857141</v>
      </c>
    </row>
    <row r="29" spans="1:12" x14ac:dyDescent="0.25">
      <c r="A29" s="177"/>
      <c r="B29" s="178"/>
      <c r="C29" s="63">
        <f>C28*C14</f>
        <v>1125000</v>
      </c>
      <c r="D29" s="64">
        <f>D28*D14</f>
        <v>1028571.4285714285</v>
      </c>
    </row>
    <row r="30" spans="1:12" x14ac:dyDescent="0.25">
      <c r="A30" s="190" t="s">
        <v>51</v>
      </c>
      <c r="B30" s="68" t="s">
        <v>48</v>
      </c>
      <c r="C30" s="76">
        <f>C28/$C$7</f>
        <v>0.61643835616438358</v>
      </c>
      <c r="D30" s="77">
        <f>D28/$C$7</f>
        <v>0.44031311154598823</v>
      </c>
    </row>
    <row r="31" spans="1:12" x14ac:dyDescent="0.25">
      <c r="A31" s="190"/>
      <c r="B31" s="68" t="s">
        <v>50</v>
      </c>
      <c r="C31" s="76">
        <f>C28/$C$8</f>
        <v>0.82191780821917804</v>
      </c>
      <c r="D31" s="77">
        <f>D28/$C$8</f>
        <v>0.58708414872798431</v>
      </c>
    </row>
    <row r="32" spans="1:12" x14ac:dyDescent="0.25">
      <c r="A32" s="179" t="s">
        <v>52</v>
      </c>
      <c r="B32" s="180"/>
      <c r="C32" s="78">
        <f>C28</f>
        <v>45000</v>
      </c>
      <c r="D32" s="79">
        <v>0</v>
      </c>
    </row>
    <row r="33" spans="1:4" x14ac:dyDescent="0.25">
      <c r="A33" s="181" t="s">
        <v>53</v>
      </c>
      <c r="B33" s="182"/>
      <c r="C33" s="80">
        <v>0</v>
      </c>
      <c r="D33" s="81">
        <f>D28</f>
        <v>32142.857142857141</v>
      </c>
    </row>
    <row r="36" spans="1:4" x14ac:dyDescent="0.25">
      <c r="C36" s="173" t="s">
        <v>45</v>
      </c>
      <c r="D36" s="174"/>
    </row>
    <row r="37" spans="1:4" x14ac:dyDescent="0.25">
      <c r="C37" s="22" t="str">
        <f>Enunciado!$D$9</f>
        <v>M.P</v>
      </c>
      <c r="D37" s="21" t="str">
        <f>Enunciado!$E$9</f>
        <v>T.I</v>
      </c>
    </row>
    <row r="38" spans="1:4" x14ac:dyDescent="0.25">
      <c r="A38" s="175" t="s">
        <v>54</v>
      </c>
      <c r="B38" s="176"/>
      <c r="C38" s="176"/>
      <c r="D38" s="187"/>
    </row>
    <row r="39" spans="1:4" x14ac:dyDescent="0.25">
      <c r="A39" s="13"/>
      <c r="B39" s="2"/>
      <c r="C39" s="183">
        <f>C17/D17</f>
        <v>0.7142857142857143</v>
      </c>
      <c r="D39" s="185">
        <f>D17/C17</f>
        <v>1.4</v>
      </c>
    </row>
    <row r="40" spans="1:4" x14ac:dyDescent="0.25">
      <c r="A40" s="9"/>
      <c r="B40" s="10"/>
      <c r="C40" s="184"/>
      <c r="D40" s="186"/>
    </row>
    <row r="41" spans="1:4" x14ac:dyDescent="0.25">
      <c r="A41" s="12" t="str">
        <f>"Efecto Sustitución para "&amp;C27&amp;"  &lt; = "</f>
        <v xml:space="preserve">Efecto Sustitución para M.P  &lt; = </v>
      </c>
      <c r="B41" s="7"/>
      <c r="C41" s="70">
        <f>C11</f>
        <v>32850</v>
      </c>
      <c r="D41" s="69">
        <f>(C28-C41)*C39</f>
        <v>8678.5714285714294</v>
      </c>
    </row>
    <row r="42" spans="1:4" x14ac:dyDescent="0.25">
      <c r="A42" s="13"/>
      <c r="B42" s="2"/>
      <c r="C42" s="63">
        <f>C41*C14</f>
        <v>821250</v>
      </c>
      <c r="D42" s="64">
        <f>D41*D14</f>
        <v>277714.28571428574</v>
      </c>
    </row>
    <row r="43" spans="1:4" x14ac:dyDescent="0.25">
      <c r="A43" s="11" t="str">
        <f>"Efecto Sustitución para "&amp;D27&amp;"  &lt; = "</f>
        <v xml:space="preserve">Efecto Sustitución para T.I  &lt; = </v>
      </c>
      <c r="B43" s="2"/>
      <c r="C43" s="72">
        <f>(D28-D43)*D39</f>
        <v>14339.999999999996</v>
      </c>
      <c r="D43" s="73">
        <f>D11</f>
        <v>21900</v>
      </c>
    </row>
    <row r="44" spans="1:4" x14ac:dyDescent="0.25">
      <c r="A44" s="9"/>
      <c r="B44" s="10"/>
      <c r="C44" s="14">
        <f>C43*C14</f>
        <v>358499.99999999988</v>
      </c>
      <c r="D44" s="15">
        <f>D43*D14</f>
        <v>700800</v>
      </c>
    </row>
    <row r="46" spans="1:4" x14ac:dyDescent="0.25">
      <c r="C46" s="173" t="s">
        <v>45</v>
      </c>
      <c r="D46" s="174"/>
    </row>
    <row r="47" spans="1:4" x14ac:dyDescent="0.25">
      <c r="C47" s="22" t="str">
        <f>Enunciado!$D$9</f>
        <v>M.P</v>
      </c>
      <c r="D47" s="21" t="str">
        <f>Enunciado!$E$9</f>
        <v>T.I</v>
      </c>
    </row>
    <row r="48" spans="1:4" x14ac:dyDescent="0.25">
      <c r="A48" s="6" t="s">
        <v>10</v>
      </c>
      <c r="B48" s="7"/>
      <c r="C48" s="7"/>
      <c r="D48" s="8"/>
    </row>
    <row r="49" spans="1:22" x14ac:dyDescent="0.25">
      <c r="A49" s="13"/>
      <c r="B49" s="2"/>
      <c r="C49" s="168">
        <f>C17/C14</f>
        <v>0.4</v>
      </c>
      <c r="D49" s="170">
        <f>D15/D14</f>
        <v>0.5625</v>
      </c>
    </row>
    <row r="50" spans="1:22" x14ac:dyDescent="0.25">
      <c r="A50" s="9"/>
      <c r="B50" s="10"/>
      <c r="C50" s="169"/>
      <c r="D50" s="171"/>
    </row>
    <row r="53" spans="1:22" x14ac:dyDescent="0.25">
      <c r="A53" s="201" t="s">
        <v>11</v>
      </c>
      <c r="B53" s="201"/>
      <c r="C53" s="201"/>
      <c r="D53" s="201"/>
      <c r="F53" s="217" t="s">
        <v>72</v>
      </c>
      <c r="G53" s="217"/>
      <c r="H53" s="217"/>
      <c r="I53" s="217"/>
      <c r="J53" s="217"/>
      <c r="K53" s="217"/>
      <c r="L53" s="217"/>
      <c r="M53" s="217"/>
      <c r="N53" s="217"/>
    </row>
    <row r="54" spans="1:22" x14ac:dyDescent="0.25">
      <c r="A54" s="201"/>
      <c r="B54" s="201"/>
      <c r="C54" s="201"/>
      <c r="D54" s="201"/>
      <c r="G54" s="157" t="s">
        <v>57</v>
      </c>
      <c r="H54" s="158"/>
      <c r="I54" s="155" t="s">
        <v>73</v>
      </c>
      <c r="J54" s="155" t="s">
        <v>75</v>
      </c>
      <c r="K54" s="155" t="s">
        <v>76</v>
      </c>
      <c r="L54" s="112" t="s">
        <v>74</v>
      </c>
      <c r="M54" s="155" t="s">
        <v>77</v>
      </c>
      <c r="N54" s="155" t="s">
        <v>78</v>
      </c>
    </row>
    <row r="55" spans="1:22" x14ac:dyDescent="0.25">
      <c r="A55" s="202" t="s">
        <v>9</v>
      </c>
      <c r="B55" s="202"/>
      <c r="C55" s="202"/>
      <c r="D55" s="202"/>
      <c r="G55" s="95" t="str">
        <f>G13</f>
        <v>M.P</v>
      </c>
      <c r="H55" s="96" t="str">
        <f>H13</f>
        <v>T.I</v>
      </c>
      <c r="I55" s="156"/>
      <c r="J55" s="156"/>
      <c r="K55" s="156"/>
      <c r="L55" s="113">
        <f>C75</f>
        <v>0.3</v>
      </c>
      <c r="M55" s="156"/>
      <c r="N55" s="156"/>
    </row>
    <row r="56" spans="1:22" x14ac:dyDescent="0.25">
      <c r="C56" s="173" t="str">
        <f>C46</f>
        <v>Régimen de alojamiento</v>
      </c>
      <c r="D56" s="174"/>
      <c r="F56" s="107" t="str">
        <f>F14</f>
        <v>Valor extremo 1:</v>
      </c>
      <c r="G56" s="111">
        <f>B104</f>
        <v>180000</v>
      </c>
      <c r="H56" s="111">
        <v>0</v>
      </c>
      <c r="I56" s="114">
        <f>(G56*$C$14)+(H56*$D$14)</f>
        <v>4500000</v>
      </c>
      <c r="J56" s="115">
        <f>(G56*$C$15)+(H56*$D$15)+$C$18</f>
        <v>3150000</v>
      </c>
      <c r="K56" s="115">
        <f>I56-J56</f>
        <v>1350000</v>
      </c>
      <c r="L56" s="115">
        <f>K56*$L$55</f>
        <v>405000</v>
      </c>
      <c r="M56" s="115">
        <f>K56-L56</f>
        <v>945000</v>
      </c>
      <c r="N56" s="116">
        <f>M56/I56</f>
        <v>0.21</v>
      </c>
    </row>
    <row r="57" spans="1:22" x14ac:dyDescent="0.25">
      <c r="C57" s="4" t="str">
        <f>C47</f>
        <v>M.P</v>
      </c>
      <c r="D57" s="5" t="str">
        <f>D37</f>
        <v>T.I</v>
      </c>
      <c r="F57" s="107" t="str">
        <f>F15</f>
        <v>Valor extremo 2:</v>
      </c>
      <c r="G57" s="111">
        <v>0</v>
      </c>
      <c r="H57" s="111">
        <f>B108</f>
        <v>102272.72727272726</v>
      </c>
      <c r="I57" s="114">
        <f t="shared" ref="I57:I59" si="1">(G57*$C$14)+(H57*$D$14)</f>
        <v>3272727.2727272725</v>
      </c>
      <c r="J57" s="115">
        <f t="shared" ref="J57:J59" si="2">(G57*$C$15)+(H57*$D$15)+$C$18</f>
        <v>2290909.0909090908</v>
      </c>
      <c r="K57" s="115">
        <f t="shared" ref="K57:K59" si="3">I57-J57</f>
        <v>981818.18181818165</v>
      </c>
      <c r="L57" s="115">
        <f>K57*$L$55</f>
        <v>294545.45454545447</v>
      </c>
      <c r="M57" s="115">
        <f t="shared" ref="M57:M59" si="4">K57-L57</f>
        <v>687272.72727272718</v>
      </c>
      <c r="N57" s="116">
        <f t="shared" ref="N57:N59" si="5">M57/I57</f>
        <v>0.21</v>
      </c>
      <c r="Q57" s="161" t="s">
        <v>64</v>
      </c>
      <c r="R57" s="161"/>
      <c r="S57" s="161"/>
      <c r="T57" s="161"/>
      <c r="U57" s="161"/>
      <c r="V57" s="161"/>
    </row>
    <row r="58" spans="1:22" x14ac:dyDescent="0.25">
      <c r="A58" s="211" t="str">
        <f>A20</f>
        <v>Costes fijos propios</v>
      </c>
      <c r="B58" s="212"/>
      <c r="C58" s="89">
        <f>C20</f>
        <v>125000</v>
      </c>
      <c r="D58" s="83">
        <f>D20</f>
        <v>175000</v>
      </c>
      <c r="F58" s="107" t="str">
        <f>F16</f>
        <v>Sustitución 1</v>
      </c>
      <c r="G58" s="111">
        <f>C104</f>
        <v>32850</v>
      </c>
      <c r="H58" s="111">
        <f>D104</f>
        <v>83607.95454545453</v>
      </c>
      <c r="I58" s="114">
        <f t="shared" si="1"/>
        <v>3496704.5454545449</v>
      </c>
      <c r="J58" s="115">
        <f t="shared" si="2"/>
        <v>2447693.1818181816</v>
      </c>
      <c r="K58" s="115">
        <f t="shared" si="3"/>
        <v>1049011.3636363633</v>
      </c>
      <c r="L58" s="115">
        <f>K58*$L$55</f>
        <v>314703.409090909</v>
      </c>
      <c r="M58" s="115">
        <f t="shared" si="4"/>
        <v>734307.95454545435</v>
      </c>
      <c r="N58" s="116">
        <f t="shared" si="5"/>
        <v>0.20999999999999996</v>
      </c>
      <c r="Q58" s="157" t="s">
        <v>58</v>
      </c>
      <c r="R58" s="158"/>
      <c r="S58" s="162" t="s">
        <v>0</v>
      </c>
      <c r="T58" s="162" t="s">
        <v>1</v>
      </c>
      <c r="U58" s="162" t="s">
        <v>59</v>
      </c>
      <c r="V58" s="162" t="s">
        <v>5</v>
      </c>
    </row>
    <row r="59" spans="1:22" x14ac:dyDescent="0.25">
      <c r="A59" s="213" t="str">
        <f>A19</f>
        <v>Costes fijos comunes</v>
      </c>
      <c r="B59" s="214"/>
      <c r="C59" s="203">
        <f>C19</f>
        <v>150000</v>
      </c>
      <c r="D59" s="204"/>
      <c r="F59" s="107" t="str">
        <f>F17</f>
        <v>Sustitución 2</v>
      </c>
      <c r="G59" s="111">
        <f>D108</f>
        <v>141456</v>
      </c>
      <c r="H59" s="111">
        <f>C108</f>
        <v>21900</v>
      </c>
      <c r="I59" s="114">
        <f t="shared" si="1"/>
        <v>4237200</v>
      </c>
      <c r="J59" s="115">
        <f t="shared" si="2"/>
        <v>2966040</v>
      </c>
      <c r="K59" s="115">
        <f t="shared" si="3"/>
        <v>1271160</v>
      </c>
      <c r="L59" s="115">
        <f>K59*$L$55</f>
        <v>381348</v>
      </c>
      <c r="M59" s="115">
        <f t="shared" si="4"/>
        <v>889812</v>
      </c>
      <c r="N59" s="116">
        <f t="shared" si="5"/>
        <v>0.21</v>
      </c>
      <c r="Q59" s="95" t="str">
        <f>C57</f>
        <v>M.P</v>
      </c>
      <c r="R59" s="96" t="str">
        <f>D57</f>
        <v>T.I</v>
      </c>
      <c r="S59" s="163"/>
      <c r="T59" s="163"/>
      <c r="U59" s="163"/>
      <c r="V59" s="163"/>
    </row>
    <row r="60" spans="1:22" x14ac:dyDescent="0.25">
      <c r="A60" s="205" t="str">
        <f>A17</f>
        <v>Margen de contribución unitario</v>
      </c>
      <c r="B60" s="206"/>
      <c r="C60" s="90">
        <f>C17</f>
        <v>10</v>
      </c>
      <c r="D60" s="91">
        <f>D17</f>
        <v>14</v>
      </c>
      <c r="P60" s="19" t="str">
        <f>"Pto equilibrio "&amp;C57</f>
        <v>Pto equilibrio M.P</v>
      </c>
      <c r="Q60" s="97">
        <f>C68</f>
        <v>12500</v>
      </c>
      <c r="R60" s="98">
        <f>D68</f>
        <v>23214.285714285714</v>
      </c>
      <c r="S60" s="20">
        <f>(Q60*$C$14)+(R60*$D$14)</f>
        <v>1055357.1428571427</v>
      </c>
      <c r="T60" s="20">
        <f>(Q60*$C$15)+(R60*$D$15)</f>
        <v>605357.14285714284</v>
      </c>
      <c r="U60" s="20">
        <f>C58+D58+C59</f>
        <v>450000</v>
      </c>
      <c r="V60" s="20">
        <f>S60-T60-U60</f>
        <v>0</v>
      </c>
    </row>
    <row r="61" spans="1:22" x14ac:dyDescent="0.25">
      <c r="A61" s="6" t="s">
        <v>62</v>
      </c>
      <c r="B61" s="7"/>
      <c r="C61" s="7"/>
      <c r="D61" s="8"/>
      <c r="P61" s="19" t="str">
        <f>"Pto equilibrio "&amp;D57</f>
        <v>Pto equilibrio T.I</v>
      </c>
      <c r="Q61" s="97">
        <f>C69</f>
        <v>27499.999999999996</v>
      </c>
      <c r="R61" s="98">
        <f>D69</f>
        <v>12500</v>
      </c>
      <c r="S61" s="20">
        <f>(Q61*$C$14)+(R61*$D$14)</f>
        <v>1087500</v>
      </c>
      <c r="T61" s="20">
        <f>(Q61*$C$15)+(R61*$D$15)</f>
        <v>637500</v>
      </c>
      <c r="U61" s="20">
        <f>C58+D58+C59</f>
        <v>450000</v>
      </c>
      <c r="V61" s="20">
        <f>S61-T61-U61</f>
        <v>0</v>
      </c>
    </row>
    <row r="62" spans="1:22" x14ac:dyDescent="0.25">
      <c r="A62" s="219" t="s">
        <v>60</v>
      </c>
      <c r="B62" s="220"/>
      <c r="C62" s="92">
        <f>(C58+D58+C59)/C60</f>
        <v>45000</v>
      </c>
      <c r="D62" s="93">
        <f>(C58+D58+C59)/D60</f>
        <v>32142.857142857141</v>
      </c>
    </row>
    <row r="63" spans="1:22" x14ac:dyDescent="0.25">
      <c r="A63" s="221" t="s">
        <v>61</v>
      </c>
      <c r="B63" s="222"/>
      <c r="C63" s="94">
        <f>C58/C17</f>
        <v>12500</v>
      </c>
      <c r="D63" s="82">
        <f>D58/D17</f>
        <v>12500</v>
      </c>
    </row>
    <row r="64" spans="1:22" x14ac:dyDescent="0.25">
      <c r="A64" s="6" t="s">
        <v>63</v>
      </c>
      <c r="B64" s="7"/>
      <c r="C64" s="7"/>
      <c r="D64" s="8"/>
    </row>
    <row r="65" spans="1:4" x14ac:dyDescent="0.25">
      <c r="A65" s="13"/>
      <c r="B65" s="2"/>
      <c r="C65" s="183">
        <f>C17/D17</f>
        <v>0.7142857142857143</v>
      </c>
      <c r="D65" s="185">
        <f>D17/C17</f>
        <v>1.4</v>
      </c>
    </row>
    <row r="66" spans="1:4" x14ac:dyDescent="0.25">
      <c r="A66" s="9"/>
      <c r="B66" s="10"/>
      <c r="C66" s="184"/>
      <c r="D66" s="186"/>
    </row>
    <row r="67" spans="1:4" x14ac:dyDescent="0.25">
      <c r="A67" s="6" t="s">
        <v>14</v>
      </c>
      <c r="B67" s="7"/>
      <c r="C67" s="7"/>
      <c r="D67" s="8"/>
    </row>
    <row r="68" spans="1:4" x14ac:dyDescent="0.25">
      <c r="A68" s="215" t="str">
        <f>"Para el producto "&amp;C57</f>
        <v>Para el producto M.P</v>
      </c>
      <c r="B68" s="216"/>
      <c r="C68" s="84">
        <f>C63</f>
        <v>12500</v>
      </c>
      <c r="D68" s="85">
        <f>(C32-C68)*C65</f>
        <v>23214.285714285714</v>
      </c>
    </row>
    <row r="69" spans="1:4" x14ac:dyDescent="0.25">
      <c r="A69" s="223" t="str">
        <f>"Para el producto "&amp;D57</f>
        <v>Para el producto T.I</v>
      </c>
      <c r="B69" s="224"/>
      <c r="C69" s="86">
        <f>(D33-D69)*D65</f>
        <v>27499.999999999996</v>
      </c>
      <c r="D69" s="87">
        <f>D63</f>
        <v>12500</v>
      </c>
    </row>
    <row r="72" spans="1:4" x14ac:dyDescent="0.25">
      <c r="A72" s="210" t="s">
        <v>15</v>
      </c>
      <c r="B72" s="210"/>
      <c r="C72" s="210"/>
      <c r="D72" s="210"/>
    </row>
    <row r="73" spans="1:4" x14ac:dyDescent="0.25">
      <c r="A73" s="202" t="s">
        <v>16</v>
      </c>
      <c r="B73" s="202"/>
      <c r="C73" s="202"/>
      <c r="D73" s="202"/>
    </row>
    <row r="74" spans="1:4" x14ac:dyDescent="0.25">
      <c r="A74" s="207" t="s">
        <v>65</v>
      </c>
      <c r="B74" s="207"/>
      <c r="C74" s="207"/>
      <c r="D74" s="101">
        <v>0.21</v>
      </c>
    </row>
    <row r="75" spans="1:4" x14ac:dyDescent="0.25">
      <c r="B75" s="23" t="s">
        <v>17</v>
      </c>
      <c r="C75" s="100">
        <v>0.3</v>
      </c>
    </row>
    <row r="76" spans="1:4" x14ac:dyDescent="0.25">
      <c r="B76" s="23" t="s">
        <v>18</v>
      </c>
      <c r="C76">
        <f>(D74/(1-C75))</f>
        <v>0.3</v>
      </c>
    </row>
    <row r="77" spans="1:4" x14ac:dyDescent="0.25">
      <c r="B77" s="26" t="s">
        <v>22</v>
      </c>
      <c r="C77" s="23" t="s">
        <v>18</v>
      </c>
      <c r="D77" s="88" t="str">
        <f>(D74/(1-C75))&amp;" .I"</f>
        <v>0,3 .I</v>
      </c>
    </row>
    <row r="84" spans="1:5" x14ac:dyDescent="0.25">
      <c r="A84" s="137" t="s">
        <v>66</v>
      </c>
      <c r="B84" s="137"/>
      <c r="C84" s="137"/>
      <c r="D84" s="137"/>
    </row>
    <row r="88" spans="1:5" x14ac:dyDescent="0.25">
      <c r="A88" s="102" t="s">
        <v>69</v>
      </c>
    </row>
    <row r="89" spans="1:5" x14ac:dyDescent="0.25">
      <c r="A89" s="137"/>
      <c r="B89" s="137"/>
      <c r="C89" s="137"/>
      <c r="D89" s="137"/>
    </row>
    <row r="90" spans="1:5" x14ac:dyDescent="0.25">
      <c r="A90" s="218" t="s">
        <v>24</v>
      </c>
      <c r="B90" s="218"/>
      <c r="C90" s="218"/>
      <c r="D90" s="218"/>
    </row>
    <row r="91" spans="1:5" ht="18" x14ac:dyDescent="0.25">
      <c r="A91" s="104" t="s">
        <v>67</v>
      </c>
      <c r="B91" s="117">
        <f>C17-(C76*C14)</f>
        <v>2.5</v>
      </c>
      <c r="C91" s="104" t="str">
        <f>"RMC "&amp;C22</f>
        <v xml:space="preserve">RMC </v>
      </c>
      <c r="D91" s="105">
        <f>B91/C14</f>
        <v>0.1</v>
      </c>
    </row>
    <row r="92" spans="1:5" ht="18" x14ac:dyDescent="0.25">
      <c r="A92" s="22" t="s">
        <v>68</v>
      </c>
      <c r="B92" s="106">
        <f>D17-(C76*D14)</f>
        <v>4.4000000000000004</v>
      </c>
      <c r="C92" s="22" t="str">
        <f>"RMC "&amp;D22</f>
        <v xml:space="preserve">RMC </v>
      </c>
      <c r="D92" s="21">
        <f>B92/D14</f>
        <v>0.13750000000000001</v>
      </c>
    </row>
    <row r="93" spans="1:5" x14ac:dyDescent="0.25">
      <c r="A93" s="159" t="s">
        <v>23</v>
      </c>
      <c r="B93" s="159"/>
      <c r="C93" s="159"/>
      <c r="D93" s="159"/>
    </row>
    <row r="94" spans="1:5" x14ac:dyDescent="0.25">
      <c r="A94" s="118"/>
      <c r="B94" s="232">
        <f>B91/B92</f>
        <v>0.56818181818181812</v>
      </c>
      <c r="C94" s="118"/>
      <c r="D94" s="158">
        <f>B92/B91</f>
        <v>1.7600000000000002</v>
      </c>
    </row>
    <row r="95" spans="1:5" ht="15" customHeight="1" x14ac:dyDescent="0.25">
      <c r="A95" s="9"/>
      <c r="B95" s="186"/>
      <c r="C95" s="9"/>
      <c r="D95" s="233"/>
    </row>
    <row r="96" spans="1:5" x14ac:dyDescent="0.25">
      <c r="A96" s="160" t="s">
        <v>80</v>
      </c>
      <c r="B96" s="160"/>
      <c r="C96" s="160"/>
      <c r="D96" s="160"/>
      <c r="E96" s="160"/>
    </row>
    <row r="97" spans="1:9" x14ac:dyDescent="0.25">
      <c r="A97" s="88" t="s">
        <v>25</v>
      </c>
      <c r="B97" s="88" t="s">
        <v>21</v>
      </c>
      <c r="C97" s="25" t="s">
        <v>19</v>
      </c>
      <c r="D97" s="25" t="s">
        <v>20</v>
      </c>
    </row>
    <row r="98" spans="1:9" x14ac:dyDescent="0.25">
      <c r="A98" s="208" t="s">
        <v>70</v>
      </c>
      <c r="B98" s="119">
        <f>C18/B91</f>
        <v>180000</v>
      </c>
      <c r="C98" s="236">
        <f>(B98*C17)-C18</f>
        <v>1350000</v>
      </c>
      <c r="D98" s="236">
        <f>C98*(1-C75)</f>
        <v>944999.99999999988</v>
      </c>
      <c r="E98" s="234">
        <f>D98/B99</f>
        <v>0.20999999999999996</v>
      </c>
    </row>
    <row r="99" spans="1:9" x14ac:dyDescent="0.25">
      <c r="A99" s="209"/>
      <c r="B99" s="120">
        <f>B98*C14</f>
        <v>4500000</v>
      </c>
      <c r="C99" s="237"/>
      <c r="D99" s="237"/>
      <c r="E99" s="235"/>
    </row>
    <row r="100" spans="1:9" ht="15" customHeight="1" x14ac:dyDescent="0.25">
      <c r="A100" s="208" t="s">
        <v>71</v>
      </c>
      <c r="B100" s="119">
        <f>C18/B92</f>
        <v>102272.72727272726</v>
      </c>
      <c r="C100" s="236">
        <f>(B100*D17)-C18</f>
        <v>981818.18181818165</v>
      </c>
      <c r="D100" s="236">
        <f>C100*(1-C75)</f>
        <v>687272.72727272706</v>
      </c>
      <c r="E100" s="234">
        <f>D100/B101</f>
        <v>0.20999999999999996</v>
      </c>
    </row>
    <row r="101" spans="1:9" ht="15" customHeight="1" x14ac:dyDescent="0.25">
      <c r="A101" s="209"/>
      <c r="B101" s="120">
        <f>B100*D14</f>
        <v>3272727.2727272725</v>
      </c>
      <c r="C101" s="237"/>
      <c r="D101" s="237"/>
      <c r="E101" s="235"/>
      <c r="G101" s="103"/>
      <c r="H101" s="103"/>
      <c r="I101" s="103"/>
    </row>
    <row r="102" spans="1:9" x14ac:dyDescent="0.25">
      <c r="A102" s="24" t="s">
        <v>79</v>
      </c>
    </row>
    <row r="103" spans="1:9" x14ac:dyDescent="0.25">
      <c r="A103" s="1" t="s">
        <v>25</v>
      </c>
      <c r="B103" s="28" t="s">
        <v>27</v>
      </c>
      <c r="C103" s="28" t="s">
        <v>26</v>
      </c>
      <c r="D103" s="230" t="s">
        <v>28</v>
      </c>
      <c r="E103" s="231"/>
      <c r="F103" s="103"/>
    </row>
    <row r="104" spans="1:9" ht="15" customHeight="1" x14ac:dyDescent="0.25">
      <c r="A104" s="225" t="s">
        <v>70</v>
      </c>
      <c r="B104" s="228">
        <f>B98</f>
        <v>180000</v>
      </c>
      <c r="C104" s="109">
        <f>C11</f>
        <v>32850</v>
      </c>
      <c r="D104" s="110">
        <f>B94*(B104-C104)</f>
        <v>83607.95454545453</v>
      </c>
      <c r="E104" s="8"/>
      <c r="F104" s="103"/>
      <c r="G104" s="103"/>
    </row>
    <row r="105" spans="1:9" ht="15" customHeight="1" x14ac:dyDescent="0.25">
      <c r="A105" s="226"/>
      <c r="B105" s="229"/>
      <c r="C105" s="31">
        <f>C104*C14</f>
        <v>821250</v>
      </c>
      <c r="D105" s="32">
        <f>D104*D14</f>
        <v>2675454.5454545449</v>
      </c>
      <c r="E105" s="27"/>
    </row>
    <row r="106" spans="1:9" x14ac:dyDescent="0.25">
      <c r="A106" s="226"/>
      <c r="B106" s="29" t="s">
        <v>0</v>
      </c>
      <c r="C106" s="29" t="s">
        <v>19</v>
      </c>
      <c r="D106" s="33" t="s">
        <v>20</v>
      </c>
      <c r="E106" s="27"/>
    </row>
    <row r="107" spans="1:9" x14ac:dyDescent="0.25">
      <c r="A107" s="227"/>
      <c r="B107" s="30">
        <f>B104*C14</f>
        <v>4500000</v>
      </c>
      <c r="C107" s="30">
        <f>(C104*C17)+(D17*D104)-C18</f>
        <v>1049011.3636363633</v>
      </c>
      <c r="D107" s="34">
        <f>C107*(1-C75)</f>
        <v>734307.95454545424</v>
      </c>
      <c r="E107" s="108">
        <f>D107/(D105+C105)</f>
        <v>0.20999999999999994</v>
      </c>
    </row>
    <row r="108" spans="1:9" ht="15" customHeight="1" x14ac:dyDescent="0.25">
      <c r="A108" s="225" t="s">
        <v>71</v>
      </c>
      <c r="B108" s="228">
        <f>B100</f>
        <v>102272.72727272726</v>
      </c>
      <c r="C108" s="109">
        <f>D11</f>
        <v>21900</v>
      </c>
      <c r="D108" s="110">
        <f>D94*(B108-C108)</f>
        <v>141456</v>
      </c>
      <c r="E108" s="8"/>
    </row>
    <row r="109" spans="1:9" ht="15" customHeight="1" x14ac:dyDescent="0.25">
      <c r="A109" s="226"/>
      <c r="B109" s="229"/>
      <c r="C109" s="31">
        <f>C108*D14</f>
        <v>700800</v>
      </c>
      <c r="D109" s="32">
        <f>D108*C14</f>
        <v>3536400</v>
      </c>
      <c r="E109" s="27"/>
    </row>
    <row r="110" spans="1:9" x14ac:dyDescent="0.25">
      <c r="A110" s="226"/>
      <c r="B110" s="29" t="s">
        <v>0</v>
      </c>
      <c r="C110" s="29" t="s">
        <v>19</v>
      </c>
      <c r="D110" s="33" t="s">
        <v>20</v>
      </c>
      <c r="E110" s="27"/>
    </row>
    <row r="111" spans="1:9" x14ac:dyDescent="0.25">
      <c r="A111" s="227"/>
      <c r="B111" s="30">
        <f>B108*D14</f>
        <v>3272727.2727272725</v>
      </c>
      <c r="C111" s="30">
        <f>(C108*D17)+(D108*C17)-C18</f>
        <v>1271160</v>
      </c>
      <c r="D111" s="34">
        <f>C111*(1-C75)</f>
        <v>889812</v>
      </c>
      <c r="E111" s="108">
        <f>D111/(C109+D109)</f>
        <v>0.21</v>
      </c>
    </row>
    <row r="120" spans="4:5" x14ac:dyDescent="0.25">
      <c r="D120" s="99"/>
      <c r="E120" s="99"/>
    </row>
  </sheetData>
  <mergeCells count="93">
    <mergeCell ref="A108:A111"/>
    <mergeCell ref="B108:B109"/>
    <mergeCell ref="D103:E103"/>
    <mergeCell ref="A84:D84"/>
    <mergeCell ref="A89:D89"/>
    <mergeCell ref="B94:B95"/>
    <mergeCell ref="D94:D95"/>
    <mergeCell ref="A104:A107"/>
    <mergeCell ref="B104:B105"/>
    <mergeCell ref="E98:E99"/>
    <mergeCell ref="A100:A101"/>
    <mergeCell ref="E100:E101"/>
    <mergeCell ref="C98:C99"/>
    <mergeCell ref="C100:C101"/>
    <mergeCell ref="D98:D99"/>
    <mergeCell ref="D100:D101"/>
    <mergeCell ref="A62:B62"/>
    <mergeCell ref="A63:B63"/>
    <mergeCell ref="A69:B69"/>
    <mergeCell ref="C65:C66"/>
    <mergeCell ref="D65:D66"/>
    <mergeCell ref="A74:C74"/>
    <mergeCell ref="A98:A99"/>
    <mergeCell ref="A72:D72"/>
    <mergeCell ref="A73:D73"/>
    <mergeCell ref="Q57:V57"/>
    <mergeCell ref="Q58:R58"/>
    <mergeCell ref="S58:S59"/>
    <mergeCell ref="T58:T59"/>
    <mergeCell ref="U58:U59"/>
    <mergeCell ref="V58:V59"/>
    <mergeCell ref="A58:B58"/>
    <mergeCell ref="A59:B59"/>
    <mergeCell ref="A68:B68"/>
    <mergeCell ref="N54:N55"/>
    <mergeCell ref="F53:N53"/>
    <mergeCell ref="A90:D90"/>
    <mergeCell ref="A53:D54"/>
    <mergeCell ref="A55:D55"/>
    <mergeCell ref="C56:D56"/>
    <mergeCell ref="C59:D59"/>
    <mergeCell ref="A60:B60"/>
    <mergeCell ref="C18:D18"/>
    <mergeCell ref="C8:D8"/>
    <mergeCell ref="A8:B8"/>
    <mergeCell ref="A9:B9"/>
    <mergeCell ref="A10:B10"/>
    <mergeCell ref="A15:B16"/>
    <mergeCell ref="C15:C16"/>
    <mergeCell ref="D15:D16"/>
    <mergeCell ref="A17:B17"/>
    <mergeCell ref="A18:B18"/>
    <mergeCell ref="A7:B7"/>
    <mergeCell ref="C7:D7"/>
    <mergeCell ref="A11:B11"/>
    <mergeCell ref="A13:B13"/>
    <mergeCell ref="A14:B14"/>
    <mergeCell ref="A22:D23"/>
    <mergeCell ref="A19:B19"/>
    <mergeCell ref="C19:D19"/>
    <mergeCell ref="A20:B20"/>
    <mergeCell ref="A30:A31"/>
    <mergeCell ref="C49:C50"/>
    <mergeCell ref="D49:D50"/>
    <mergeCell ref="A24:D24"/>
    <mergeCell ref="C26:D26"/>
    <mergeCell ref="A28:B29"/>
    <mergeCell ref="A32:B32"/>
    <mergeCell ref="A33:B33"/>
    <mergeCell ref="C36:D36"/>
    <mergeCell ref="C46:D46"/>
    <mergeCell ref="C39:C40"/>
    <mergeCell ref="D39:D40"/>
    <mergeCell ref="A38:D38"/>
    <mergeCell ref="A3:D3"/>
    <mergeCell ref="A4:B4"/>
    <mergeCell ref="A5:B5"/>
    <mergeCell ref="C5:D5"/>
    <mergeCell ref="A6:B6"/>
    <mergeCell ref="C6:D6"/>
    <mergeCell ref="G11:L11"/>
    <mergeCell ref="G12:H12"/>
    <mergeCell ref="I12:I13"/>
    <mergeCell ref="J12:J13"/>
    <mergeCell ref="K12:K13"/>
    <mergeCell ref="L12:L13"/>
    <mergeCell ref="M54:M55"/>
    <mergeCell ref="G54:H54"/>
    <mergeCell ref="A93:D93"/>
    <mergeCell ref="A96:E96"/>
    <mergeCell ref="I54:I55"/>
    <mergeCell ref="J54:J55"/>
    <mergeCell ref="K54:K55"/>
  </mergeCells>
  <pageMargins left="0.7" right="0.7" top="0.75" bottom="0.75" header="0.3" footer="0.3"/>
  <ignoredErrors>
    <ignoredError sqref="B104 E107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</vt:lpstr>
      <vt:lpstr>Solucion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2014-12-18T18:54:36Z</dcterms:modified>
</cp:coreProperties>
</file>