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5600" windowHeight="7995" activeTab="1"/>
  </bookViews>
  <sheets>
    <sheet name="SOLUCIÓN" sheetId="1" r:id="rId1"/>
    <sheet name="DATOS" sheetId="3" r:id="rId2"/>
    <sheet name="DIAGRAMA PRODUCCIÓN" sheetId="2" r:id="rId3"/>
  </sheets>
  <calcPr calcId="145621"/>
</workbook>
</file>

<file path=xl/calcChain.xml><?xml version="1.0" encoding="utf-8"?>
<calcChain xmlns="http://schemas.openxmlformats.org/spreadsheetml/2006/main">
  <c r="C140" i="1"/>
  <c r="D140" s="1"/>
  <c r="C139"/>
  <c r="C138"/>
  <c r="C136"/>
  <c r="D136" s="1"/>
  <c r="D141"/>
  <c r="D139"/>
  <c r="D138"/>
  <c r="D137"/>
  <c r="C141"/>
  <c r="C137"/>
  <c r="B141"/>
  <c r="B140"/>
  <c r="B139"/>
  <c r="B138"/>
  <c r="B137"/>
  <c r="B136"/>
  <c r="D135"/>
  <c r="D134"/>
  <c r="D133"/>
  <c r="B135"/>
  <c r="B134"/>
  <c r="B133"/>
  <c r="B132"/>
  <c r="B131"/>
  <c r="B130"/>
  <c r="B129"/>
  <c r="B128"/>
  <c r="B127"/>
  <c r="C25" l="1"/>
  <c r="F25"/>
  <c r="I25"/>
  <c r="J15" l="1"/>
  <c r="J14"/>
  <c r="J13"/>
  <c r="J12"/>
  <c r="J11"/>
  <c r="J10"/>
  <c r="J7"/>
  <c r="J6"/>
  <c r="J5"/>
  <c r="I15"/>
  <c r="I14"/>
  <c r="I12"/>
  <c r="I11"/>
  <c r="I10"/>
  <c r="I5"/>
  <c r="I4"/>
  <c r="H15"/>
  <c r="H14"/>
  <c r="H12"/>
  <c r="H11"/>
  <c r="H10"/>
  <c r="H6"/>
  <c r="H5"/>
  <c r="H4"/>
  <c r="G15"/>
  <c r="G14"/>
  <c r="G12"/>
  <c r="G11"/>
  <c r="G10"/>
  <c r="G6"/>
  <c r="G5"/>
  <c r="G4"/>
  <c r="F15"/>
  <c r="F14"/>
  <c r="F12"/>
  <c r="F11"/>
  <c r="F10"/>
  <c r="F8"/>
  <c r="F6"/>
  <c r="F5"/>
  <c r="E15"/>
  <c r="E14"/>
  <c r="E12"/>
  <c r="E11"/>
  <c r="E10"/>
  <c r="E8"/>
  <c r="E5"/>
  <c r="D15"/>
  <c r="D14"/>
  <c r="D12"/>
  <c r="D11"/>
  <c r="D10"/>
  <c r="D8"/>
  <c r="D5"/>
  <c r="D3"/>
  <c r="C15"/>
  <c r="C14"/>
  <c r="C12"/>
  <c r="C11"/>
  <c r="C10"/>
  <c r="C8"/>
  <c r="B15"/>
  <c r="B14"/>
  <c r="B12"/>
  <c r="B11"/>
  <c r="B10"/>
  <c r="B8"/>
  <c r="C6"/>
  <c r="B6"/>
  <c r="C5"/>
  <c r="B5"/>
  <c r="F3"/>
  <c r="E3"/>
  <c r="C3"/>
  <c r="J17" i="3"/>
  <c r="I17"/>
  <c r="H17"/>
  <c r="G17"/>
  <c r="F17"/>
  <c r="E17"/>
  <c r="D17"/>
  <c r="C17"/>
  <c r="B17"/>
  <c r="K16"/>
  <c r="K15"/>
  <c r="K14"/>
  <c r="K13"/>
  <c r="K12"/>
  <c r="K11"/>
  <c r="K9"/>
  <c r="K8"/>
  <c r="K7"/>
  <c r="K6"/>
  <c r="K5"/>
  <c r="K4"/>
  <c r="G93" i="1"/>
  <c r="E93"/>
  <c r="D93"/>
  <c r="C93"/>
  <c r="F93"/>
  <c r="B93"/>
  <c r="G50" i="3"/>
  <c r="G110" i="1" s="1"/>
  <c r="G119" s="1"/>
  <c r="F50" i="3"/>
  <c r="E110" i="1" s="1"/>
  <c r="E119" s="1"/>
  <c r="E50" i="3"/>
  <c r="D110" i="1" s="1"/>
  <c r="D119" s="1"/>
  <c r="D50" i="3"/>
  <c r="C110" i="1" s="1"/>
  <c r="C119" s="1"/>
  <c r="C50" i="3"/>
  <c r="F110" i="1" s="1"/>
  <c r="F119" s="1"/>
  <c r="B50" i="3"/>
  <c r="B110" i="1" s="1"/>
  <c r="B119" s="1"/>
  <c r="H48" i="3"/>
  <c r="K17" l="1"/>
  <c r="E18" i="1"/>
  <c r="F18"/>
  <c r="J18"/>
  <c r="C18"/>
  <c r="B98" s="1"/>
  <c r="H98" s="1"/>
  <c r="I18"/>
  <c r="G102" s="1"/>
  <c r="H18"/>
  <c r="E102" s="1"/>
  <c r="G18"/>
  <c r="C102" s="1"/>
  <c r="F16"/>
  <c r="E16"/>
  <c r="D18"/>
  <c r="B18"/>
  <c r="H93"/>
  <c r="I93" s="1"/>
  <c r="J37" i="3"/>
  <c r="G71" i="1" s="1"/>
  <c r="J35" i="3"/>
  <c r="C71" i="1" s="1"/>
  <c r="D71"/>
  <c r="D74" s="1"/>
  <c r="B71"/>
  <c r="B74" s="1"/>
  <c r="H46"/>
  <c r="E46"/>
  <c r="I45"/>
  <c r="F45"/>
  <c r="H45"/>
  <c r="E45"/>
  <c r="B46"/>
  <c r="C45"/>
  <c r="B45"/>
  <c r="D39"/>
  <c r="C39"/>
  <c r="B39"/>
  <c r="E44" i="3"/>
  <c r="G44" s="1"/>
  <c r="D34" i="1" s="1"/>
  <c r="E43" i="3"/>
  <c r="G43" s="1"/>
  <c r="C34" i="1" s="1"/>
  <c r="E42" i="3"/>
  <c r="G42" s="1"/>
  <c r="B34" i="1" s="1"/>
  <c r="H38" i="3"/>
  <c r="B38"/>
  <c r="C38" s="1"/>
  <c r="E37"/>
  <c r="E36"/>
  <c r="E71" i="1" s="1"/>
  <c r="E74" s="1"/>
  <c r="G28" i="3"/>
  <c r="C46" i="1" s="1"/>
  <c r="G29" i="3"/>
  <c r="F46" i="1" s="1"/>
  <c r="G30" i="3"/>
  <c r="H30" s="1"/>
  <c r="G20" i="1" l="1"/>
  <c r="E45" i="3"/>
  <c r="G45" s="1"/>
  <c r="H29"/>
  <c r="H102" i="1"/>
  <c r="K18"/>
  <c r="J20"/>
  <c r="C47"/>
  <c r="E38" i="3"/>
  <c r="J38"/>
  <c r="I20" i="1" s="1"/>
  <c r="H28" i="3"/>
  <c r="I46" i="1"/>
  <c r="I47" s="1"/>
  <c r="F71"/>
  <c r="F74" s="1"/>
  <c r="B47"/>
  <c r="E47"/>
  <c r="H47"/>
  <c r="F47"/>
  <c r="E34"/>
  <c r="D45" i="3"/>
  <c r="E20" i="1" s="1"/>
  <c r="C45" i="3"/>
  <c r="D20" i="1" s="1"/>
  <c r="B45" i="3"/>
  <c r="K8" i="1"/>
  <c r="C20"/>
  <c r="D31" i="3"/>
  <c r="C31"/>
  <c r="B31"/>
  <c r="J17" i="1"/>
  <c r="I17"/>
  <c r="H17"/>
  <c r="G17"/>
  <c r="F17"/>
  <c r="E17"/>
  <c r="D17"/>
  <c r="C17"/>
  <c r="B35" s="1"/>
  <c r="E35" s="1"/>
  <c r="B17"/>
  <c r="K11"/>
  <c r="K4"/>
  <c r="K7"/>
  <c r="B20"/>
  <c r="B21" s="1"/>
  <c r="H31" i="3" l="1"/>
  <c r="H20" i="1"/>
  <c r="H21" s="1"/>
  <c r="F38" i="3"/>
  <c r="F26" i="1"/>
  <c r="F27" s="1"/>
  <c r="I26"/>
  <c r="I27" s="1"/>
  <c r="C26"/>
  <c r="C27" s="1"/>
  <c r="H104"/>
  <c r="K17"/>
  <c r="J21"/>
  <c r="C21"/>
  <c r="E21"/>
  <c r="D37" s="1"/>
  <c r="I21"/>
  <c r="G21"/>
  <c r="F20"/>
  <c r="F21" s="1"/>
  <c r="D21"/>
  <c r="J16"/>
  <c r="I16"/>
  <c r="H16"/>
  <c r="G16"/>
  <c r="D16"/>
  <c r="C16"/>
  <c r="B16"/>
  <c r="K15"/>
  <c r="K14"/>
  <c r="K13"/>
  <c r="K12"/>
  <c r="K10"/>
  <c r="K6"/>
  <c r="K5"/>
  <c r="K3"/>
  <c r="D26" l="1"/>
  <c r="B31" s="1"/>
  <c r="E31" s="1"/>
  <c r="C127"/>
  <c r="D127" s="1"/>
  <c r="J26"/>
  <c r="D33" s="1"/>
  <c r="C129"/>
  <c r="D129" s="1"/>
  <c r="G26"/>
  <c r="C32" s="1"/>
  <c r="C128"/>
  <c r="D128" s="1"/>
  <c r="D113"/>
  <c r="D122" s="1"/>
  <c r="G113"/>
  <c r="G122" s="1"/>
  <c r="C113"/>
  <c r="C122" s="1"/>
  <c r="B113"/>
  <c r="B122" s="1"/>
  <c r="E113"/>
  <c r="E122" s="1"/>
  <c r="F113"/>
  <c r="F122" s="1"/>
  <c r="D96"/>
  <c r="C96"/>
  <c r="G96"/>
  <c r="B96"/>
  <c r="E96"/>
  <c r="F96"/>
  <c r="B67"/>
  <c r="D67"/>
  <c r="G69"/>
  <c r="C69"/>
  <c r="F68"/>
  <c r="E68"/>
  <c r="B37"/>
  <c r="C37"/>
  <c r="I44"/>
  <c r="I48" s="1"/>
  <c r="F44"/>
  <c r="F48" s="1"/>
  <c r="C44"/>
  <c r="C48" s="1"/>
  <c r="E32"/>
  <c r="E33"/>
  <c r="D38"/>
  <c r="H44" s="1"/>
  <c r="C36"/>
  <c r="C38" s="1"/>
  <c r="E44" s="1"/>
  <c r="B36"/>
  <c r="K16"/>
  <c r="H96" l="1"/>
  <c r="H67"/>
  <c r="E37"/>
  <c r="H69"/>
  <c r="I50"/>
  <c r="I51"/>
  <c r="F51"/>
  <c r="F50"/>
  <c r="H68"/>
  <c r="E36"/>
  <c r="J44"/>
  <c r="H48"/>
  <c r="C51"/>
  <c r="C50"/>
  <c r="E48"/>
  <c r="G44"/>
  <c r="C40"/>
  <c r="D40"/>
  <c r="B38"/>
  <c r="J48" l="1"/>
  <c r="C132" s="1"/>
  <c r="D132" s="1"/>
  <c r="H51"/>
  <c r="H50"/>
  <c r="G48"/>
  <c r="C131" s="1"/>
  <c r="D131" s="1"/>
  <c r="E50"/>
  <c r="E51"/>
  <c r="B40"/>
  <c r="B44"/>
  <c r="J57" l="1"/>
  <c r="F66" s="1"/>
  <c r="F70" s="1"/>
  <c r="F86" s="1"/>
  <c r="J58"/>
  <c r="G57"/>
  <c r="E65" s="1"/>
  <c r="E70" s="1"/>
  <c r="C86" s="1"/>
  <c r="G56"/>
  <c r="D65"/>
  <c r="D70" s="1"/>
  <c r="I80" s="1"/>
  <c r="G66"/>
  <c r="G70" s="1"/>
  <c r="D44"/>
  <c r="B48"/>
  <c r="G73" l="1"/>
  <c r="J87" s="1"/>
  <c r="G94" s="1"/>
  <c r="G95" s="1"/>
  <c r="G97" s="1"/>
  <c r="G99" s="1"/>
  <c r="I86"/>
  <c r="D73"/>
  <c r="D76"/>
  <c r="J81" s="1"/>
  <c r="C94" s="1"/>
  <c r="F73"/>
  <c r="F76"/>
  <c r="G87" s="1"/>
  <c r="E94" s="1"/>
  <c r="E73"/>
  <c r="E76"/>
  <c r="D87" s="1"/>
  <c r="D94" s="1"/>
  <c r="H66"/>
  <c r="H65"/>
  <c r="J50"/>
  <c r="I55" s="1"/>
  <c r="J51"/>
  <c r="B50"/>
  <c r="D50" s="1"/>
  <c r="C55" s="1"/>
  <c r="G50"/>
  <c r="F55" s="1"/>
  <c r="B51"/>
  <c r="D51" s="1"/>
  <c r="G51"/>
  <c r="D48"/>
  <c r="C130" s="1"/>
  <c r="D130" s="1"/>
  <c r="G111" l="1"/>
  <c r="G112" s="1"/>
  <c r="G114" s="1"/>
  <c r="D56"/>
  <c r="D58"/>
  <c r="C64" s="1"/>
  <c r="C70" s="1"/>
  <c r="E95"/>
  <c r="E97" s="1"/>
  <c r="E99" s="1"/>
  <c r="E111"/>
  <c r="D95"/>
  <c r="D97" s="1"/>
  <c r="D99" s="1"/>
  <c r="D111"/>
  <c r="C95"/>
  <c r="C97" s="1"/>
  <c r="C99" s="1"/>
  <c r="C111"/>
  <c r="C73" l="1"/>
  <c r="G81" s="1"/>
  <c r="F94" s="1"/>
  <c r="F95" s="1"/>
  <c r="F97" s="1"/>
  <c r="F99" s="1"/>
  <c r="G101" s="1"/>
  <c r="G103" s="1"/>
  <c r="F80"/>
  <c r="G120"/>
  <c r="G121" s="1"/>
  <c r="G123" s="1"/>
  <c r="E101"/>
  <c r="E103" s="1"/>
  <c r="B64"/>
  <c r="B70" s="1"/>
  <c r="C80" s="1"/>
  <c r="D120"/>
  <c r="D121" s="1"/>
  <c r="D123" s="1"/>
  <c r="D112"/>
  <c r="D114" s="1"/>
  <c r="E120"/>
  <c r="E121" s="1"/>
  <c r="E123" s="1"/>
  <c r="E112"/>
  <c r="E114" s="1"/>
  <c r="C120"/>
  <c r="C121" s="1"/>
  <c r="C123" s="1"/>
  <c r="C112"/>
  <c r="C114" s="1"/>
  <c r="F111" l="1"/>
  <c r="F112" s="1"/>
  <c r="F114" s="1"/>
  <c r="B73"/>
  <c r="B76"/>
  <c r="D81" s="1"/>
  <c r="B94" s="1"/>
  <c r="H64"/>
  <c r="F120"/>
  <c r="F121" s="1"/>
  <c r="F123" s="1"/>
  <c r="H94" l="1"/>
  <c r="H95" s="1"/>
  <c r="H97" s="1"/>
  <c r="I97" s="1"/>
  <c r="B111"/>
  <c r="B120" s="1"/>
  <c r="B121" s="1"/>
  <c r="B123" s="1"/>
  <c r="B112" l="1"/>
  <c r="B114" s="1"/>
  <c r="B95"/>
  <c r="B97" s="1"/>
  <c r="B99" s="1"/>
  <c r="C101" s="1"/>
  <c r="H99"/>
  <c r="C103" l="1"/>
  <c r="H101"/>
  <c r="H103" s="1"/>
  <c r="H105" l="1"/>
  <c r="I105" s="1"/>
  <c r="I103"/>
</calcChain>
</file>

<file path=xl/sharedStrings.xml><?xml version="1.0" encoding="utf-8"?>
<sst xmlns="http://schemas.openxmlformats.org/spreadsheetml/2006/main" count="322" uniqueCount="191">
  <si>
    <t>Compras</t>
  </si>
  <si>
    <t>Distribución</t>
  </si>
  <si>
    <t>TOTAL</t>
  </si>
  <si>
    <t>variables</t>
  </si>
  <si>
    <t>Materias auxiliares</t>
  </si>
  <si>
    <t>Suministros</t>
  </si>
  <si>
    <t>Reparaciones</t>
  </si>
  <si>
    <t>fijos</t>
  </si>
  <si>
    <t>M.O.I.</t>
  </si>
  <si>
    <t>Primas de Seguros</t>
  </si>
  <si>
    <t>Publicidad</t>
  </si>
  <si>
    <t>Amortización</t>
  </si>
  <si>
    <t>Unidad de obra</t>
  </si>
  <si>
    <t>€ vtas</t>
  </si>
  <si>
    <t>Nº udes Obra</t>
  </si>
  <si>
    <t>S. Envasado 1</t>
  </si>
  <si>
    <t>S. Envasado 3</t>
  </si>
  <si>
    <t>S. Transformación 1</t>
  </si>
  <si>
    <t>S. Transformación 2</t>
  </si>
  <si>
    <t>S. Transformación 3</t>
  </si>
  <si>
    <t xml:space="preserve">horas hombre </t>
  </si>
  <si>
    <t>S. Envasado 2</t>
  </si>
  <si>
    <t>Transportes</t>
  </si>
  <si>
    <t>Envasado vacio</t>
  </si>
  <si>
    <t>Envasado skin</t>
  </si>
  <si>
    <t>Envasado bandejas</t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</si>
  <si>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y P</t>
    </r>
    <r>
      <rPr>
        <vertAlign val="subscript"/>
        <sz val="11"/>
        <color theme="1"/>
        <rFont val="Calibri"/>
        <family val="2"/>
        <scheme val="minor"/>
      </rPr>
      <t>3</t>
    </r>
  </si>
  <si>
    <t>Transformación 1</t>
  </si>
  <si>
    <t>Transformación 2</t>
  </si>
  <si>
    <t>Transformación 3</t>
  </si>
  <si>
    <t>Transformación 4</t>
  </si>
  <si>
    <r>
      <t>MP</t>
    </r>
    <r>
      <rPr>
        <vertAlign val="subscript"/>
        <sz val="11"/>
        <color theme="1"/>
        <rFont val="Calibri"/>
        <family val="2"/>
        <scheme val="minor"/>
      </rPr>
      <t>1</t>
    </r>
  </si>
  <si>
    <r>
      <t>MP</t>
    </r>
    <r>
      <rPr>
        <vertAlign val="subscript"/>
        <sz val="11"/>
        <color theme="1"/>
        <rFont val="Calibri"/>
        <family val="2"/>
        <scheme val="minor"/>
      </rPr>
      <t>2</t>
    </r>
  </si>
  <si>
    <r>
      <t>MP</t>
    </r>
    <r>
      <rPr>
        <vertAlign val="subscript"/>
        <sz val="11"/>
        <color theme="1"/>
        <rFont val="Calibri"/>
        <family val="2"/>
        <scheme val="minor"/>
      </rPr>
      <t>3</t>
    </r>
  </si>
  <si>
    <r>
      <t>MP</t>
    </r>
    <r>
      <rPr>
        <vertAlign val="subscript"/>
        <sz val="11"/>
        <color theme="1"/>
        <rFont val="Calibri"/>
        <family val="2"/>
        <scheme val="minor"/>
      </rPr>
      <t>A</t>
    </r>
  </si>
  <si>
    <r>
      <t>MP</t>
    </r>
    <r>
      <rPr>
        <vertAlign val="subscript"/>
        <sz val="11"/>
        <color theme="1"/>
        <rFont val="Calibri"/>
        <family val="2"/>
        <scheme val="minor"/>
      </rPr>
      <t>B</t>
    </r>
  </si>
  <si>
    <t>DATOS:</t>
  </si>
  <si>
    <t>kgs</t>
  </si>
  <si>
    <t>precio compra</t>
  </si>
  <si>
    <t>Existencias inic.</t>
  </si>
  <si>
    <t>Exi: 7620x1,4</t>
  </si>
  <si>
    <t>Exi: 14300x5,20</t>
  </si>
  <si>
    <t>Exi: 25400x1,80</t>
  </si>
  <si>
    <t>pmp</t>
  </si>
  <si>
    <t>Consumo</t>
  </si>
  <si>
    <t>c.u.</t>
  </si>
  <si>
    <t>Envases</t>
  </si>
  <si>
    <t>Transf. 1</t>
  </si>
  <si>
    <t>Transf. 2</t>
  </si>
  <si>
    <t>Transf. 3</t>
  </si>
  <si>
    <t>Transf. 4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</si>
  <si>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</si>
  <si>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</si>
  <si>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>3</t>
    </r>
  </si>
  <si>
    <r>
      <t>Coste H</t>
    </r>
    <r>
      <rPr>
        <vertAlign val="subscript"/>
        <sz val="11"/>
        <color theme="1"/>
        <rFont val="Calibri"/>
        <family val="2"/>
        <scheme val="minor"/>
      </rPr>
      <t>MOD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</si>
  <si>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y P</t>
    </r>
    <r>
      <rPr>
        <vertAlign val="sub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</si>
  <si>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1, 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y P</t>
    </r>
    <r>
      <rPr>
        <vertAlign val="subscript"/>
        <sz val="11"/>
        <color theme="1"/>
        <rFont val="Calibri"/>
        <family val="2"/>
        <scheme val="minor"/>
      </rPr>
      <t>3</t>
    </r>
  </si>
  <si>
    <t>PE Transf. 4</t>
  </si>
  <si>
    <t xml:space="preserve">PT </t>
  </si>
  <si>
    <t xml:space="preserve">PC </t>
  </si>
  <si>
    <t>Envasado 1</t>
  </si>
  <si>
    <t>Envasado 2</t>
  </si>
  <si>
    <t>Envasado 3</t>
  </si>
  <si>
    <t>udes</t>
  </si>
  <si>
    <t>C: 33500x1,71</t>
  </si>
  <si>
    <t>C: 13400x1,39</t>
  </si>
  <si>
    <t>PRODUCTO 1</t>
  </si>
  <si>
    <t>PRODUCTO 2</t>
  </si>
  <si>
    <t>PRODUCTO 3</t>
  </si>
  <si>
    <t>Mano Obra Directa</t>
  </si>
  <si>
    <r>
      <t xml:space="preserve">Materia Prima 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</si>
  <si>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Materia Prima 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</si>
  <si>
    <t>€ MOD</t>
  </si>
  <si>
    <t>coste unitario</t>
  </si>
  <si>
    <t>PC 100% MP</t>
  </si>
  <si>
    <t>Kgs mp compras</t>
  </si>
  <si>
    <t>kgs productos</t>
  </si>
  <si>
    <t>u. producidas</t>
  </si>
  <si>
    <t>Materia Prima</t>
  </si>
  <si>
    <t>Costes Transf. 4</t>
  </si>
  <si>
    <t>Costes</t>
  </si>
  <si>
    <t>u. procesadas totalmente</t>
  </si>
  <si>
    <t>u. procesadas parcialmente</t>
  </si>
  <si>
    <t>u. curso</t>
  </si>
  <si>
    <t>P. equivalente</t>
  </si>
  <si>
    <t>C. unitario</t>
  </si>
  <si>
    <t>Valoración</t>
  </si>
  <si>
    <r>
      <t>P</t>
    </r>
    <r>
      <rPr>
        <vertAlign val="subscript"/>
        <sz val="11"/>
        <color theme="1"/>
        <rFont val="Calibri"/>
        <family val="2"/>
        <scheme val="minor"/>
      </rPr>
      <t>11</t>
    </r>
  </si>
  <si>
    <r>
      <t>P</t>
    </r>
    <r>
      <rPr>
        <vertAlign val="subscript"/>
        <sz val="11"/>
        <color theme="1"/>
        <rFont val="Calibri"/>
        <family val="2"/>
        <scheme val="minor"/>
      </rPr>
      <t>13</t>
    </r>
  </si>
  <si>
    <r>
      <t>P</t>
    </r>
    <r>
      <rPr>
        <vertAlign val="subscript"/>
        <sz val="11"/>
        <color theme="1"/>
        <rFont val="Calibri"/>
        <family val="2"/>
        <scheme val="minor"/>
      </rPr>
      <t>32</t>
    </r>
  </si>
  <si>
    <r>
      <t>P</t>
    </r>
    <r>
      <rPr>
        <vertAlign val="subscript"/>
        <sz val="11"/>
        <color theme="1"/>
        <rFont val="Calibri"/>
        <family val="2"/>
        <scheme val="minor"/>
      </rPr>
      <t>22</t>
    </r>
  </si>
  <si>
    <r>
      <t>P</t>
    </r>
    <r>
      <rPr>
        <vertAlign val="subscript"/>
        <sz val="11"/>
        <color theme="1"/>
        <rFont val="Calibri"/>
        <family val="2"/>
        <scheme val="minor"/>
      </rPr>
      <t>21</t>
    </r>
  </si>
  <si>
    <r>
      <t>P</t>
    </r>
    <r>
      <rPr>
        <vertAlign val="subscript"/>
        <sz val="11"/>
        <color theme="1"/>
        <rFont val="Calibri"/>
        <family val="2"/>
        <scheme val="minor"/>
      </rPr>
      <t>33</t>
    </r>
  </si>
  <si>
    <t>Fabricación</t>
  </si>
  <si>
    <t>a Envasado 1</t>
  </si>
  <si>
    <t>a Envasado 2</t>
  </si>
  <si>
    <t>a Envasado 3</t>
  </si>
  <si>
    <t>16302x6,44=</t>
  </si>
  <si>
    <t>9140x6,44=</t>
  </si>
  <si>
    <t>3220x6,44=</t>
  </si>
  <si>
    <t>5370x4,53=</t>
  </si>
  <si>
    <t>3110x4,53=</t>
  </si>
  <si>
    <t>1690x4,53=</t>
  </si>
  <si>
    <t>8001x10.48=</t>
  </si>
  <si>
    <t>5420x10,48=</t>
  </si>
  <si>
    <t>2530x10,48=</t>
  </si>
  <si>
    <t>PRODUCCIÓN</t>
  </si>
  <si>
    <t>unidad</t>
  </si>
  <si>
    <t>kg</t>
  </si>
  <si>
    <t>bandeja</t>
  </si>
  <si>
    <t>pieza</t>
  </si>
  <si>
    <t>pieza (kgs)</t>
  </si>
  <si>
    <t>bandeja (kgs)</t>
  </si>
  <si>
    <t>Ventas netas</t>
  </si>
  <si>
    <t>euros</t>
  </si>
  <si>
    <t>piezas/bandejas</t>
  </si>
  <si>
    <r>
      <t>p</t>
    </r>
    <r>
      <rPr>
        <vertAlign val="subscript"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medio</t>
    </r>
  </si>
  <si>
    <r>
      <t>C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producción ventas</t>
    </r>
  </si>
  <si>
    <t>Margen de fabricación</t>
  </si>
  <si>
    <r>
      <t>C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distribución </t>
    </r>
  </si>
  <si>
    <t>Margen comercial</t>
  </si>
  <si>
    <r>
      <t>C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propios productos</t>
    </r>
  </si>
  <si>
    <t>M. s/CF propios producto</t>
  </si>
  <si>
    <t>Linea productos vacío</t>
  </si>
  <si>
    <t>Linea productos skin</t>
  </si>
  <si>
    <t>Linea productos bandeja</t>
  </si>
  <si>
    <t>M. s/CF propios L. productos</t>
  </si>
  <si>
    <r>
      <t>C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propios línea productos</t>
    </r>
  </si>
  <si>
    <r>
      <t>C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comunes</t>
    </r>
  </si>
  <si>
    <r>
      <t>R</t>
    </r>
    <r>
      <rPr>
        <vertAlign val="subscript"/>
        <sz val="11"/>
        <color theme="1"/>
        <rFont val="Calibri"/>
        <family val="2"/>
        <scheme val="minor"/>
      </rPr>
      <t>DO</t>
    </r>
    <r>
      <rPr>
        <sz val="11"/>
        <color theme="1"/>
        <rFont val="Calibri"/>
        <family val="2"/>
        <scheme val="minor"/>
      </rPr>
      <t xml:space="preserve"> EXPLOTACIÓN</t>
    </r>
  </si>
  <si>
    <t>C: 5600x6,19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</si>
  <si>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y P</t>
    </r>
    <r>
      <rPr>
        <vertAlign val="sub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</si>
  <si>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y P</t>
    </r>
    <r>
      <rPr>
        <vertAlign val="subscript"/>
        <sz val="11"/>
        <color theme="1"/>
        <rFont val="Calibri"/>
        <family val="2"/>
        <scheme val="minor"/>
      </rPr>
      <t>3</t>
    </r>
  </si>
  <si>
    <r>
      <t>M. PRIMA mp</t>
    </r>
    <r>
      <rPr>
        <vertAlign val="subscript"/>
        <sz val="11"/>
        <color theme="1"/>
        <rFont val="Calibri"/>
        <family val="2"/>
        <scheme val="minor"/>
      </rPr>
      <t>1</t>
    </r>
  </si>
  <si>
    <r>
      <t>M. PRIMA mp</t>
    </r>
    <r>
      <rPr>
        <vertAlign val="subscript"/>
        <sz val="11"/>
        <color theme="1"/>
        <rFont val="Calibri"/>
        <family val="2"/>
        <scheme val="minor"/>
      </rPr>
      <t>2</t>
    </r>
  </si>
  <si>
    <r>
      <t>M. PRIMA mp</t>
    </r>
    <r>
      <rPr>
        <vertAlign val="subscript"/>
        <sz val="11"/>
        <color theme="1"/>
        <rFont val="Calibri"/>
        <family val="2"/>
        <scheme val="minor"/>
      </rPr>
      <t>3</t>
    </r>
  </si>
  <si>
    <t xml:space="preserve"> kgs entran</t>
  </si>
  <si>
    <t>kgs salen</t>
  </si>
  <si>
    <t>La cuenta de resultados global será:</t>
  </si>
  <si>
    <t>La cuenta de resultados por unidad de producto es:</t>
  </si>
  <si>
    <t>La cuenta de resultados por € de ventas es:</t>
  </si>
  <si>
    <t>Otros costes</t>
  </si>
  <si>
    <t>M. auxiliares</t>
  </si>
  <si>
    <t>P. de seguros</t>
  </si>
  <si>
    <t>Costes variables</t>
  </si>
  <si>
    <t>Costes fijos</t>
  </si>
  <si>
    <r>
      <t>MP</t>
    </r>
    <r>
      <rPr>
        <vertAlign val="subscript"/>
        <sz val="11"/>
        <color theme="1"/>
        <rFont val="Calibri"/>
        <family val="2"/>
        <scheme val="minor"/>
      </rPr>
      <t>C</t>
    </r>
  </si>
  <si>
    <t>Producción S. Transformación 3</t>
  </si>
  <si>
    <r>
      <t xml:space="preserve">Materia Prima 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</si>
  <si>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r>
      <t>P</t>
    </r>
    <r>
      <rPr>
        <vertAlign val="subscript"/>
        <sz val="11"/>
        <color rgb="FF000099"/>
        <rFont val="Calibri"/>
        <family val="2"/>
        <scheme val="minor"/>
      </rPr>
      <t>11</t>
    </r>
  </si>
  <si>
    <r>
      <t>P</t>
    </r>
    <r>
      <rPr>
        <vertAlign val="subscript"/>
        <sz val="11"/>
        <color rgb="FF000099"/>
        <rFont val="Calibri"/>
        <family val="2"/>
        <scheme val="minor"/>
      </rPr>
      <t>13</t>
    </r>
  </si>
  <si>
    <r>
      <t>P</t>
    </r>
    <r>
      <rPr>
        <vertAlign val="subscript"/>
        <sz val="11"/>
        <color rgb="FF000099"/>
        <rFont val="Calibri"/>
        <family val="2"/>
        <scheme val="minor"/>
      </rPr>
      <t>21</t>
    </r>
  </si>
  <si>
    <r>
      <t>P</t>
    </r>
    <r>
      <rPr>
        <vertAlign val="subscript"/>
        <sz val="11"/>
        <color rgb="FF000099"/>
        <rFont val="Calibri"/>
        <family val="2"/>
        <scheme val="minor"/>
      </rPr>
      <t>22</t>
    </r>
  </si>
  <si>
    <r>
      <t>P</t>
    </r>
    <r>
      <rPr>
        <vertAlign val="subscript"/>
        <sz val="11"/>
        <color rgb="FF000099"/>
        <rFont val="Calibri"/>
        <family val="2"/>
        <scheme val="minor"/>
      </rPr>
      <t>32</t>
    </r>
  </si>
  <si>
    <r>
      <t>P</t>
    </r>
    <r>
      <rPr>
        <vertAlign val="subscript"/>
        <sz val="11"/>
        <color rgb="FF000099"/>
        <rFont val="Calibri"/>
        <family val="2"/>
        <scheme val="minor"/>
      </rPr>
      <t>33</t>
    </r>
  </si>
  <si>
    <r>
      <t>PRODUCTO</t>
    </r>
    <r>
      <rPr>
        <vertAlign val="subscript"/>
        <sz val="11"/>
        <color rgb="FF000099"/>
        <rFont val="Calibri"/>
        <family val="2"/>
        <scheme val="minor"/>
      </rPr>
      <t>1.1</t>
    </r>
  </si>
  <si>
    <r>
      <t>PRODUCTO</t>
    </r>
    <r>
      <rPr>
        <vertAlign val="subscript"/>
        <sz val="11"/>
        <color rgb="FF000099"/>
        <rFont val="Calibri"/>
        <family val="2"/>
        <scheme val="minor"/>
      </rPr>
      <t>2.1</t>
    </r>
  </si>
  <si>
    <t>a Ventas</t>
  </si>
  <si>
    <t>22390x2,77=</t>
  </si>
  <si>
    <t>20390x2,77=</t>
  </si>
  <si>
    <r>
      <t>PRODUCTO</t>
    </r>
    <r>
      <rPr>
        <vertAlign val="subscript"/>
        <sz val="11"/>
        <color rgb="FF000099"/>
        <rFont val="Calibri"/>
        <family val="2"/>
        <scheme val="minor"/>
      </rPr>
      <t>1.3</t>
    </r>
  </si>
  <si>
    <r>
      <t>PRODUCTO</t>
    </r>
    <r>
      <rPr>
        <vertAlign val="subscript"/>
        <sz val="11"/>
        <color rgb="FF000099"/>
        <rFont val="Calibri"/>
        <family val="2"/>
        <scheme val="minor"/>
      </rPr>
      <t>2.2</t>
    </r>
  </si>
  <si>
    <r>
      <t>PRODUCTO</t>
    </r>
    <r>
      <rPr>
        <vertAlign val="subscript"/>
        <sz val="11"/>
        <color rgb="FF000099"/>
        <rFont val="Calibri"/>
        <family val="2"/>
        <scheme val="minor"/>
      </rPr>
      <t>3.2</t>
    </r>
  </si>
  <si>
    <r>
      <t>PRODUCTO</t>
    </r>
    <r>
      <rPr>
        <vertAlign val="subscript"/>
        <sz val="11"/>
        <color rgb="FF000099"/>
        <rFont val="Calibri"/>
        <family val="2"/>
        <scheme val="minor"/>
      </rPr>
      <t>3.3</t>
    </r>
  </si>
  <si>
    <t>7620x1,99=</t>
  </si>
  <si>
    <t>6422x1,35=</t>
  </si>
  <si>
    <t>20596x2,92</t>
  </si>
  <si>
    <t>23270x1,23=</t>
  </si>
  <si>
    <t>6420x1,35=</t>
  </si>
  <si>
    <t>29200x0,79=</t>
  </si>
  <si>
    <t>29620x0,79=</t>
  </si>
  <si>
    <t>7410x1,99=</t>
  </si>
  <si>
    <t>20120x2,92=</t>
  </si>
  <si>
    <t>23010x1,23=</t>
  </si>
  <si>
    <t>Horas MOD.</t>
  </si>
  <si>
    <t>Ventas</t>
  </si>
  <si>
    <t>La existencias finales son:</t>
  </si>
  <si>
    <r>
      <t>MP</t>
    </r>
    <r>
      <rPr>
        <vertAlign val="subscript"/>
        <sz val="11"/>
        <color theme="1"/>
        <rFont val="Calibri"/>
        <family val="2"/>
        <scheme val="minor"/>
      </rPr>
      <t xml:space="preserve">A </t>
    </r>
  </si>
  <si>
    <t>kgs/unidades</t>
  </si>
  <si>
    <r>
      <t>MP</t>
    </r>
    <r>
      <rPr>
        <vertAlign val="subscript"/>
        <sz val="11"/>
        <color theme="1"/>
        <rFont val="Calibri"/>
        <family val="2"/>
        <scheme val="minor"/>
      </rPr>
      <t xml:space="preserve">B </t>
    </r>
  </si>
  <si>
    <r>
      <t>MP</t>
    </r>
    <r>
      <rPr>
        <vertAlign val="subscript"/>
        <sz val="11"/>
        <color theme="1"/>
        <rFont val="Calibri"/>
        <family val="2"/>
        <scheme val="minor"/>
      </rPr>
      <t xml:space="preserve">C </t>
    </r>
  </si>
  <si>
    <r>
      <t>PRODUCTO</t>
    </r>
    <r>
      <rPr>
        <vertAlign val="subscript"/>
        <sz val="11"/>
        <rFont val="Calibri"/>
        <family val="2"/>
        <scheme val="minor"/>
      </rPr>
      <t>1.1</t>
    </r>
  </si>
  <si>
    <r>
      <t>PRODUCTO</t>
    </r>
    <r>
      <rPr>
        <vertAlign val="subscript"/>
        <sz val="11"/>
        <rFont val="Calibri"/>
        <family val="2"/>
        <scheme val="minor"/>
      </rPr>
      <t>1.3</t>
    </r>
  </si>
  <si>
    <r>
      <t>PRODUCTO</t>
    </r>
    <r>
      <rPr>
        <vertAlign val="subscript"/>
        <sz val="11"/>
        <rFont val="Calibri"/>
        <family val="2"/>
        <scheme val="minor"/>
      </rPr>
      <t>2.1</t>
    </r>
  </si>
  <si>
    <r>
      <t>PRODUCTO</t>
    </r>
    <r>
      <rPr>
        <vertAlign val="subscript"/>
        <sz val="11"/>
        <rFont val="Calibri"/>
        <family val="2"/>
        <scheme val="minor"/>
      </rPr>
      <t>2.2</t>
    </r>
  </si>
  <si>
    <r>
      <t>PRODUCTO</t>
    </r>
    <r>
      <rPr>
        <vertAlign val="subscript"/>
        <sz val="11"/>
        <rFont val="Calibri"/>
        <family val="2"/>
        <scheme val="minor"/>
      </rPr>
      <t>3.2</t>
    </r>
  </si>
  <si>
    <r>
      <t>PRODUCTO</t>
    </r>
    <r>
      <rPr>
        <vertAlign val="subscript"/>
        <sz val="11"/>
        <rFont val="Calibri"/>
        <family val="2"/>
        <scheme val="minor"/>
      </rPr>
      <t>3.3</t>
    </r>
  </si>
  <si>
    <t>PRODUCTO 1 en curso en T4</t>
  </si>
  <si>
    <t>PRODUCTO 2 en curso en T4</t>
  </si>
  <si>
    <t>PRODUCTO 3 en curso en T4</t>
  </si>
  <si>
    <t>Kgs producción</t>
  </si>
</sst>
</file>

<file path=xl/styles.xml><?xml version="1.0" encoding="utf-8"?>
<styleSheet xmlns="http://schemas.openxmlformats.org/spreadsheetml/2006/main">
  <numFmts count="10">
    <numFmt numFmtId="41" formatCode="_-* #,##0\ _€_-;\-* #,##0\ _€_-;_-* &quot;-&quot;\ _€_-;_-@_-"/>
    <numFmt numFmtId="43" formatCode="_-* #,##0.00\ _€_-;\-* #,##0.00\ _€_-;_-* &quot;-&quot;??\ _€_-;_-@_-"/>
    <numFmt numFmtId="164" formatCode="_-* #,##0\ _P_t_s_-;\-* #,##0\ _P_t_s_-;_-* &quot;-&quot;\ _P_t_s_-;_-@_-"/>
    <numFmt numFmtId="165" formatCode="_-* #,##0.000\ _€_-;\-* #,##0.000\ _€_-;_-* &quot;-&quot;\ _€_-;_-@_-"/>
    <numFmt numFmtId="166" formatCode="_-* #,##0.000\ _€_-;\-* #,##0.000\ _€_-;_-* &quot;-&quot;???\ _€_-;_-@_-"/>
    <numFmt numFmtId="167" formatCode="0.0"/>
    <numFmt numFmtId="168" formatCode="#,##0.0"/>
    <numFmt numFmtId="169" formatCode="#,##0.000"/>
    <numFmt numFmtId="170" formatCode="_-* #,##0.0\ _€_-;\-* #,##0.0\ _€_-;_-* &quot;-&quot;?\ _€_-;_-@_-"/>
    <numFmt numFmtId="171" formatCode="#,##0.00_ ;\-#,##0.0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9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9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1"/>
      <color rgb="FF0000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0099"/>
      </left>
      <right style="thick">
        <color rgb="FF000099"/>
      </right>
      <top style="thick">
        <color rgb="FF000099"/>
      </top>
      <bottom style="thick">
        <color rgb="FF00009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5">
    <xf numFmtId="0" fontId="0" fillId="0" borderId="0" xfId="0"/>
    <xf numFmtId="0" fontId="0" fillId="0" borderId="1" xfId="0" applyBorder="1"/>
    <xf numFmtId="0" fontId="2" fillId="0" borderId="5" xfId="0" applyFont="1" applyBorder="1"/>
    <xf numFmtId="0" fontId="0" fillId="0" borderId="5" xfId="0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Border="1"/>
    <xf numFmtId="0" fontId="0" fillId="0" borderId="14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6" xfId="0" applyNumberFormat="1" applyBorder="1"/>
    <xf numFmtId="0" fontId="0" fillId="0" borderId="0" xfId="0" applyAlignment="1">
      <alignment horizontal="right"/>
    </xf>
    <xf numFmtId="4" fontId="0" fillId="0" borderId="15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165" fontId="0" fillId="0" borderId="0" xfId="0" applyNumberFormat="1"/>
    <xf numFmtId="166" fontId="0" fillId="0" borderId="0" xfId="0" applyNumberFormat="1" applyBorder="1"/>
    <xf numFmtId="3" fontId="0" fillId="0" borderId="14" xfId="0" applyNumberFormat="1" applyBorder="1" applyAlignment="1">
      <alignment horizontal="center"/>
    </xf>
    <xf numFmtId="167" fontId="0" fillId="0" borderId="0" xfId="0" applyNumberFormat="1"/>
    <xf numFmtId="1" fontId="0" fillId="0" borderId="0" xfId="0" applyNumberFormat="1"/>
    <xf numFmtId="3" fontId="8" fillId="0" borderId="14" xfId="0" applyNumberFormat="1" applyFont="1" applyBorder="1" applyAlignment="1">
      <alignment horizontal="center"/>
    </xf>
    <xf numFmtId="164" fontId="0" fillId="0" borderId="0" xfId="0" applyNumberFormat="1"/>
    <xf numFmtId="169" fontId="0" fillId="0" borderId="16" xfId="0" applyNumberFormat="1" applyBorder="1" applyAlignment="1">
      <alignment horizontal="center"/>
    </xf>
    <xf numFmtId="43" fontId="0" fillId="0" borderId="0" xfId="1" applyFont="1"/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8" xfId="1" applyFont="1" applyBorder="1" applyAlignment="1">
      <alignment horizontal="right"/>
    </xf>
    <xf numFmtId="43" fontId="0" fillId="0" borderId="6" xfId="1" applyFont="1" applyBorder="1"/>
    <xf numFmtId="43" fontId="0" fillId="0" borderId="7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0" borderId="11" xfId="1" applyFont="1" applyBorder="1" applyAlignment="1">
      <alignment horizontal="center"/>
    </xf>
    <xf numFmtId="43" fontId="0" fillId="0" borderId="8" xfId="1" applyFont="1" applyBorder="1"/>
    <xf numFmtId="43" fontId="0" fillId="0" borderId="12" xfId="1" applyFont="1" applyBorder="1" applyAlignment="1">
      <alignment horizontal="center"/>
    </xf>
    <xf numFmtId="41" fontId="0" fillId="0" borderId="14" xfId="1" applyNumberFormat="1" applyFont="1" applyBorder="1" applyAlignment="1">
      <alignment horizontal="center"/>
    </xf>
    <xf numFmtId="41" fontId="0" fillId="0" borderId="14" xfId="1" applyNumberFormat="1" applyFont="1" applyBorder="1"/>
    <xf numFmtId="43" fontId="0" fillId="0" borderId="14" xfId="1" applyFont="1" applyBorder="1"/>
    <xf numFmtId="41" fontId="0" fillId="0" borderId="18" xfId="1" applyNumberFormat="1" applyFont="1" applyBorder="1"/>
    <xf numFmtId="43" fontId="0" fillId="0" borderId="0" xfId="1" applyFont="1" applyBorder="1" applyAlignment="1">
      <alignment horizontal="center"/>
    </xf>
    <xf numFmtId="43" fontId="0" fillId="0" borderId="19" xfId="1" applyFont="1" applyBorder="1" applyAlignment="1">
      <alignment horizontal="center"/>
    </xf>
    <xf numFmtId="43" fontId="0" fillId="0" borderId="0" xfId="1" applyFont="1" applyBorder="1"/>
    <xf numFmtId="43" fontId="0" fillId="0" borderId="19" xfId="1" applyFont="1" applyBorder="1"/>
    <xf numFmtId="41" fontId="0" fillId="0" borderId="0" xfId="1" applyNumberFormat="1" applyFont="1" applyBorder="1"/>
    <xf numFmtId="43" fontId="0" fillId="0" borderId="20" xfId="1" applyFont="1" applyBorder="1"/>
    <xf numFmtId="43" fontId="0" fillId="0" borderId="21" xfId="1" applyFont="1" applyBorder="1"/>
    <xf numFmtId="43" fontId="0" fillId="0" borderId="22" xfId="1" applyFont="1" applyBorder="1"/>
    <xf numFmtId="43" fontId="0" fillId="0" borderId="23" xfId="1" applyFont="1" applyBorder="1"/>
    <xf numFmtId="43" fontId="0" fillId="0" borderId="26" xfId="1" applyFont="1" applyBorder="1"/>
    <xf numFmtId="43" fontId="9" fillId="0" borderId="6" xfId="1" applyFont="1" applyBorder="1"/>
    <xf numFmtId="43" fontId="9" fillId="0" borderId="9" xfId="1" applyFont="1" applyBorder="1"/>
    <xf numFmtId="43" fontId="0" fillId="0" borderId="27" xfId="1" applyFont="1" applyBorder="1"/>
    <xf numFmtId="43" fontId="9" fillId="0" borderId="28" xfId="1" applyFont="1" applyBorder="1"/>
    <xf numFmtId="4" fontId="0" fillId="0" borderId="15" xfId="0" applyNumberFormat="1" applyBorder="1"/>
    <xf numFmtId="0" fontId="7" fillId="0" borderId="0" xfId="0" applyFont="1" applyAlignment="1">
      <alignment horizontal="center"/>
    </xf>
    <xf numFmtId="0" fontId="7" fillId="0" borderId="0" xfId="0" applyFont="1"/>
    <xf numFmtId="43" fontId="0" fillId="0" borderId="0" xfId="0" applyNumberFormat="1"/>
    <xf numFmtId="43" fontId="0" fillId="0" borderId="14" xfId="0" applyNumberFormat="1" applyBorder="1"/>
    <xf numFmtId="0" fontId="0" fillId="0" borderId="29" xfId="0" applyBorder="1"/>
    <xf numFmtId="43" fontId="0" fillId="0" borderId="30" xfId="1" applyFont="1" applyBorder="1"/>
    <xf numFmtId="43" fontId="0" fillId="0" borderId="31" xfId="1" applyFont="1" applyBorder="1"/>
    <xf numFmtId="43" fontId="0" fillId="0" borderId="32" xfId="1" applyFont="1" applyBorder="1"/>
    <xf numFmtId="0" fontId="0" fillId="0" borderId="29" xfId="0" applyFill="1" applyBorder="1"/>
    <xf numFmtId="43" fontId="0" fillId="0" borderId="30" xfId="1" applyFont="1" applyBorder="1" applyAlignment="1">
      <alignment horizontal="center"/>
    </xf>
    <xf numFmtId="43" fontId="0" fillId="0" borderId="33" xfId="1" applyFont="1" applyBorder="1" applyAlignment="1">
      <alignment horizontal="center"/>
    </xf>
    <xf numFmtId="43" fontId="0" fillId="0" borderId="34" xfId="1" applyFont="1" applyBorder="1" applyAlignment="1">
      <alignment horizontal="center"/>
    </xf>
    <xf numFmtId="43" fontId="0" fillId="0" borderId="35" xfId="1" applyFont="1" applyBorder="1" applyAlignment="1">
      <alignment horizontal="center"/>
    </xf>
    <xf numFmtId="43" fontId="0" fillId="0" borderId="12" xfId="1" applyFont="1" applyBorder="1"/>
    <xf numFmtId="43" fontId="0" fillId="0" borderId="9" xfId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/>
    <xf numFmtId="0" fontId="0" fillId="0" borderId="22" xfId="0" applyBorder="1"/>
    <xf numFmtId="0" fontId="0" fillId="0" borderId="23" xfId="0" applyBorder="1"/>
    <xf numFmtId="3" fontId="0" fillId="0" borderId="36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168" fontId="8" fillId="0" borderId="0" xfId="0" applyNumberFormat="1" applyFon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43" fontId="0" fillId="0" borderId="0" xfId="0" applyNumberFormat="1" applyBorder="1"/>
    <xf numFmtId="43" fontId="0" fillId="0" borderId="18" xfId="0" applyNumberFormat="1" applyBorder="1"/>
    <xf numFmtId="43" fontId="0" fillId="3" borderId="3" xfId="1" applyFont="1" applyFill="1" applyBorder="1" applyAlignment="1">
      <alignment horizontal="center"/>
    </xf>
    <xf numFmtId="0" fontId="0" fillId="3" borderId="5" xfId="0" applyFill="1" applyBorder="1"/>
    <xf numFmtId="0" fontId="0" fillId="3" borderId="43" xfId="0" applyFill="1" applyBorder="1"/>
    <xf numFmtId="3" fontId="0" fillId="0" borderId="24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/>
    <xf numFmtId="43" fontId="0" fillId="0" borderId="45" xfId="1" applyFont="1" applyBorder="1"/>
    <xf numFmtId="43" fontId="0" fillId="0" borderId="53" xfId="1" applyFont="1" applyBorder="1"/>
    <xf numFmtId="171" fontId="0" fillId="0" borderId="46" xfId="1" applyNumberFormat="1" applyFont="1" applyBorder="1" applyAlignment="1">
      <alignment horizontal="center"/>
    </xf>
    <xf numFmtId="43" fontId="0" fillId="0" borderId="47" xfId="1" applyFont="1" applyBorder="1"/>
    <xf numFmtId="166" fontId="0" fillId="0" borderId="49" xfId="0" applyNumberFormat="1" applyFont="1" applyBorder="1" applyAlignment="1">
      <alignment horizontal="center"/>
    </xf>
    <xf numFmtId="4" fontId="0" fillId="0" borderId="51" xfId="0" applyNumberFormat="1" applyBorder="1"/>
    <xf numFmtId="4" fontId="0" fillId="0" borderId="54" xfId="0" applyNumberFormat="1" applyBorder="1"/>
    <xf numFmtId="43" fontId="0" fillId="0" borderId="52" xfId="1" applyFont="1" applyBorder="1" applyAlignment="1">
      <alignment horizontal="center"/>
    </xf>
    <xf numFmtId="43" fontId="0" fillId="0" borderId="34" xfId="1" applyFont="1" applyBorder="1"/>
    <xf numFmtId="171" fontId="0" fillId="0" borderId="33" xfId="1" applyNumberFormat="1" applyFont="1" applyBorder="1" applyAlignment="1">
      <alignment horizontal="center"/>
    </xf>
    <xf numFmtId="37" fontId="0" fillId="0" borderId="0" xfId="1" applyNumberFormat="1" applyFont="1" applyBorder="1" applyAlignment="1">
      <alignment horizontal="center"/>
    </xf>
    <xf numFmtId="171" fontId="0" fillId="0" borderId="0" xfId="1" applyNumberFormat="1" applyFont="1" applyBorder="1" applyAlignment="1">
      <alignment horizontal="center"/>
    </xf>
    <xf numFmtId="3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5" xfId="0" applyBorder="1"/>
    <xf numFmtId="4" fontId="6" fillId="0" borderId="46" xfId="0" applyNumberFormat="1" applyFont="1" applyBorder="1" applyAlignment="1">
      <alignment horizontal="center"/>
    </xf>
    <xf numFmtId="0" fontId="0" fillId="0" borderId="46" xfId="0" applyBorder="1"/>
    <xf numFmtId="0" fontId="0" fillId="0" borderId="56" xfId="0" applyBorder="1"/>
    <xf numFmtId="0" fontId="0" fillId="0" borderId="57" xfId="0" applyBorder="1"/>
    <xf numFmtId="0" fontId="0" fillId="0" borderId="43" xfId="0" applyBorder="1"/>
    <xf numFmtId="0" fontId="0" fillId="0" borderId="57" xfId="0" applyFill="1" applyBorder="1"/>
    <xf numFmtId="0" fontId="9" fillId="0" borderId="57" xfId="0" applyFont="1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0" fillId="0" borderId="55" xfId="0" applyBorder="1" applyAlignment="1">
      <alignment horizontal="center"/>
    </xf>
    <xf numFmtId="37" fontId="0" fillId="0" borderId="12" xfId="1" applyNumberFormat="1" applyFont="1" applyBorder="1" applyAlignment="1">
      <alignment horizontal="center"/>
    </xf>
    <xf numFmtId="171" fontId="0" fillId="0" borderId="12" xfId="1" applyNumberFormat="1" applyFont="1" applyBorder="1" applyAlignment="1">
      <alignment horizontal="center"/>
    </xf>
    <xf numFmtId="171" fontId="6" fillId="0" borderId="12" xfId="1" applyNumberFormat="1" applyFont="1" applyBorder="1" applyAlignment="1">
      <alignment horizontal="center"/>
    </xf>
    <xf numFmtId="3" fontId="0" fillId="0" borderId="12" xfId="1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33" xfId="0" applyBorder="1"/>
    <xf numFmtId="4" fontId="6" fillId="0" borderId="33" xfId="0" applyNumberFormat="1" applyFont="1" applyBorder="1" applyAlignment="1">
      <alignment horizontal="center"/>
    </xf>
    <xf numFmtId="43" fontId="0" fillId="0" borderId="33" xfId="1" applyFont="1" applyBorder="1"/>
    <xf numFmtId="0" fontId="6" fillId="0" borderId="48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0" xfId="0" applyFont="1"/>
    <xf numFmtId="166" fontId="6" fillId="0" borderId="48" xfId="0" applyNumberFormat="1" applyFont="1" applyBorder="1" applyAlignment="1">
      <alignment horizontal="center"/>
    </xf>
    <xf numFmtId="166" fontId="6" fillId="0" borderId="55" xfId="0" applyNumberFormat="1" applyFont="1" applyBorder="1" applyAlignment="1">
      <alignment horizontal="center"/>
    </xf>
    <xf numFmtId="10" fontId="10" fillId="0" borderId="45" xfId="0" applyNumberFormat="1" applyFont="1" applyBorder="1"/>
    <xf numFmtId="43" fontId="0" fillId="0" borderId="46" xfId="0" applyNumberFormat="1" applyBorder="1"/>
    <xf numFmtId="10" fontId="10" fillId="0" borderId="47" xfId="0" applyNumberFormat="1" applyFont="1" applyBorder="1"/>
    <xf numFmtId="0" fontId="0" fillId="0" borderId="43" xfId="0" applyFill="1" applyBorder="1"/>
    <xf numFmtId="0" fontId="0" fillId="0" borderId="58" xfId="0" applyFill="1" applyBorder="1"/>
    <xf numFmtId="43" fontId="0" fillId="0" borderId="6" xfId="0" applyNumberFormat="1" applyBorder="1"/>
    <xf numFmtId="43" fontId="0" fillId="0" borderId="12" xfId="0" applyNumberFormat="1" applyBorder="1"/>
    <xf numFmtId="43" fontId="0" fillId="0" borderId="9" xfId="0" applyNumberFormat="1" applyBorder="1"/>
    <xf numFmtId="43" fontId="0" fillId="0" borderId="34" xfId="0" applyNumberFormat="1" applyBorder="1"/>
    <xf numFmtId="0" fontId="0" fillId="0" borderId="34" xfId="0" applyBorder="1"/>
    <xf numFmtId="0" fontId="0" fillId="0" borderId="49" xfId="0" applyBorder="1"/>
    <xf numFmtId="43" fontId="0" fillId="0" borderId="36" xfId="0" applyNumberFormat="1" applyBorder="1" applyAlignment="1">
      <alignment horizontal="center"/>
    </xf>
    <xf numFmtId="0" fontId="0" fillId="0" borderId="39" xfId="0" applyBorder="1"/>
    <xf numFmtId="43" fontId="0" fillId="0" borderId="16" xfId="0" applyNumberFormat="1" applyBorder="1" applyAlignment="1">
      <alignment horizontal="center"/>
    </xf>
    <xf numFmtId="43" fontId="0" fillId="0" borderId="17" xfId="0" applyNumberFormat="1" applyBorder="1"/>
    <xf numFmtId="43" fontId="0" fillId="0" borderId="7" xfId="0" applyNumberFormat="1" applyBorder="1" applyAlignment="1">
      <alignment horizontal="center"/>
    </xf>
    <xf numFmtId="0" fontId="0" fillId="0" borderId="10" xfId="0" applyBorder="1"/>
    <xf numFmtId="43" fontId="0" fillId="0" borderId="15" xfId="0" applyNumberFormat="1" applyBorder="1"/>
    <xf numFmtId="43" fontId="0" fillId="0" borderId="60" xfId="0" applyNumberFormat="1" applyBorder="1"/>
    <xf numFmtId="0" fontId="6" fillId="0" borderId="59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9" xfId="0" applyBorder="1"/>
    <xf numFmtId="0" fontId="0" fillId="0" borderId="36" xfId="0" applyBorder="1"/>
    <xf numFmtId="4" fontId="0" fillId="0" borderId="19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38" xfId="0" applyBorder="1"/>
    <xf numFmtId="4" fontId="0" fillId="0" borderId="1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4" fontId="0" fillId="0" borderId="6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36" xfId="0" applyBorder="1" applyAlignment="1">
      <alignment horizontal="right"/>
    </xf>
    <xf numFmtId="41" fontId="0" fillId="0" borderId="0" xfId="1" applyNumberFormat="1" applyFont="1" applyBorder="1" applyAlignment="1">
      <alignment horizontal="center"/>
    </xf>
    <xf numFmtId="170" fontId="0" fillId="0" borderId="19" xfId="1" applyNumberFormat="1" applyFont="1" applyBorder="1"/>
    <xf numFmtId="170" fontId="0" fillId="0" borderId="20" xfId="1" applyNumberFormat="1" applyFont="1" applyBorder="1"/>
    <xf numFmtId="41" fontId="0" fillId="0" borderId="22" xfId="1" applyNumberFormat="1" applyFont="1" applyBorder="1" applyAlignment="1">
      <alignment horizontal="center"/>
    </xf>
    <xf numFmtId="170" fontId="0" fillId="0" borderId="23" xfId="1" applyNumberFormat="1" applyFont="1" applyBorder="1" applyAlignment="1">
      <alignment horizontal="center"/>
    </xf>
    <xf numFmtId="0" fontId="0" fillId="0" borderId="44" xfId="0" applyBorder="1" applyAlignment="1">
      <alignment horizontal="right"/>
    </xf>
    <xf numFmtId="0" fontId="0" fillId="0" borderId="64" xfId="0" applyBorder="1" applyAlignment="1">
      <alignment horizontal="right"/>
    </xf>
    <xf numFmtId="0" fontId="0" fillId="0" borderId="42" xfId="0" applyBorder="1"/>
    <xf numFmtId="41" fontId="0" fillId="0" borderId="12" xfId="1" applyNumberFormat="1" applyFont="1" applyBorder="1" applyAlignment="1">
      <alignment horizontal="center"/>
    </xf>
    <xf numFmtId="41" fontId="0" fillId="0" borderId="12" xfId="1" applyNumberFormat="1" applyFont="1" applyBorder="1"/>
    <xf numFmtId="41" fontId="0" fillId="0" borderId="34" xfId="1" applyNumberFormat="1" applyFont="1" applyBorder="1" applyAlignment="1">
      <alignment horizontal="center"/>
    </xf>
    <xf numFmtId="41" fontId="0" fillId="0" borderId="34" xfId="1" applyNumberFormat="1" applyFont="1" applyBorder="1"/>
    <xf numFmtId="41" fontId="0" fillId="0" borderId="65" xfId="1" applyNumberFormat="1" applyFont="1" applyBorder="1" applyAlignment="1">
      <alignment horizontal="center"/>
    </xf>
    <xf numFmtId="0" fontId="0" fillId="0" borderId="65" xfId="0" applyBorder="1"/>
    <xf numFmtId="3" fontId="0" fillId="0" borderId="66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61" xfId="0" applyFill="1" applyBorder="1" applyAlignment="1">
      <alignment horizontal="center"/>
    </xf>
    <xf numFmtId="3" fontId="0" fillId="0" borderId="0" xfId="0" applyNumberFormat="1" applyBorder="1"/>
    <xf numFmtId="3" fontId="5" fillId="0" borderId="0" xfId="0" applyNumberFormat="1" applyFont="1" applyFill="1" applyAlignment="1">
      <alignment horizontal="center"/>
    </xf>
    <xf numFmtId="41" fontId="0" fillId="0" borderId="19" xfId="0" applyNumberFormat="1" applyBorder="1"/>
    <xf numFmtId="0" fontId="0" fillId="0" borderId="37" xfId="0" applyBorder="1" applyAlignment="1">
      <alignment horizontal="right"/>
    </xf>
    <xf numFmtId="41" fontId="0" fillId="0" borderId="6" xfId="0" applyNumberFormat="1" applyBorder="1"/>
    <xf numFmtId="41" fontId="0" fillId="0" borderId="12" xfId="0" applyNumberFormat="1" applyBorder="1"/>
    <xf numFmtId="41" fontId="0" fillId="0" borderId="6" xfId="1" applyNumberFormat="1" applyFont="1" applyBorder="1"/>
    <xf numFmtId="43" fontId="0" fillId="0" borderId="28" xfId="1" applyFont="1" applyBorder="1"/>
    <xf numFmtId="43" fontId="0" fillId="0" borderId="65" xfId="1" applyFont="1" applyBorder="1"/>
    <xf numFmtId="0" fontId="0" fillId="0" borderId="3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25" xfId="0" applyBorder="1" applyAlignment="1">
      <alignment horizontal="center"/>
    </xf>
    <xf numFmtId="43" fontId="0" fillId="0" borderId="45" xfId="0" applyNumberFormat="1" applyBorder="1"/>
    <xf numFmtId="43" fontId="0" fillId="0" borderId="53" xfId="0" applyNumberFormat="1" applyBorder="1"/>
    <xf numFmtId="43" fontId="0" fillId="0" borderId="67" xfId="0" applyNumberFormat="1" applyBorder="1"/>
    <xf numFmtId="43" fontId="0" fillId="0" borderId="47" xfId="0" applyNumberFormat="1" applyBorder="1"/>
    <xf numFmtId="43" fontId="0" fillId="0" borderId="68" xfId="0" applyNumberFormat="1" applyBorder="1"/>
    <xf numFmtId="43" fontId="0" fillId="0" borderId="33" xfId="0" applyNumberFormat="1" applyBorder="1"/>
    <xf numFmtId="0" fontId="6" fillId="0" borderId="49" xfId="0" applyFont="1" applyBorder="1" applyAlignment="1">
      <alignment horizontal="center"/>
    </xf>
    <xf numFmtId="3" fontId="0" fillId="0" borderId="0" xfId="0" applyNumberFormat="1" applyBorder="1" applyAlignment="1"/>
    <xf numFmtId="3" fontId="11" fillId="0" borderId="0" xfId="0" applyNumberFormat="1" applyFont="1" applyBorder="1" applyAlignment="1"/>
    <xf numFmtId="4" fontId="0" fillId="0" borderId="0" xfId="0" applyNumberFormat="1" applyBorder="1" applyAlignment="1"/>
    <xf numFmtId="4" fontId="0" fillId="0" borderId="19" xfId="0" applyNumberFormat="1" applyBorder="1" applyAlignment="1"/>
    <xf numFmtId="4" fontId="0" fillId="0" borderId="0" xfId="0" applyNumberFormat="1" applyBorder="1"/>
    <xf numFmtId="3" fontId="11" fillId="0" borderId="22" xfId="0" applyNumberFormat="1" applyFont="1" applyBorder="1" applyAlignment="1"/>
    <xf numFmtId="4" fontId="0" fillId="0" borderId="22" xfId="0" applyNumberFormat="1" applyBorder="1"/>
    <xf numFmtId="4" fontId="0" fillId="0" borderId="23" xfId="0" applyNumberFormat="1" applyBorder="1" applyAlignment="1"/>
    <xf numFmtId="0" fontId="0" fillId="0" borderId="24" xfId="0" applyBorder="1" applyAlignment="1">
      <alignment horizontal="center"/>
    </xf>
    <xf numFmtId="0" fontId="0" fillId="0" borderId="61" xfId="0" applyBorder="1"/>
    <xf numFmtId="0" fontId="11" fillId="0" borderId="44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5" fillId="2" borderId="22" xfId="0" applyNumberFormat="1" applyFont="1" applyFill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44" xfId="0" applyBorder="1"/>
    <xf numFmtId="3" fontId="0" fillId="0" borderId="34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6" fontId="6" fillId="0" borderId="24" xfId="0" applyNumberFormat="1" applyFont="1" applyBorder="1" applyAlignment="1">
      <alignment horizontal="center"/>
    </xf>
    <xf numFmtId="0" fontId="6" fillId="0" borderId="24" xfId="0" applyFont="1" applyBorder="1" applyAlignment="1"/>
    <xf numFmtId="0" fontId="6" fillId="0" borderId="25" xfId="0" applyFont="1" applyBorder="1" applyAlignment="1"/>
    <xf numFmtId="0" fontId="6" fillId="0" borderId="14" xfId="0" applyFont="1" applyBorder="1" applyAlignment="1">
      <alignment horizontal="center"/>
    </xf>
    <xf numFmtId="43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3" fontId="0" fillId="0" borderId="12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/>
    <xf numFmtId="0" fontId="0" fillId="0" borderId="25" xfId="0" applyBorder="1" applyAlignment="1"/>
    <xf numFmtId="3" fontId="0" fillId="0" borderId="40" xfId="0" applyNumberFormat="1" applyBorder="1" applyAlignment="1">
      <alignment horizontal="center"/>
    </xf>
    <xf numFmtId="0" fontId="0" fillId="0" borderId="41" xfId="0" applyBorder="1" applyAlignment="1"/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3" fontId="0" fillId="0" borderId="38" xfId="0" applyNumberFormat="1" applyBorder="1" applyAlignment="1">
      <alignment horizontal="center"/>
    </xf>
    <xf numFmtId="168" fontId="8" fillId="4" borderId="0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5</xdr:row>
      <xdr:rowOff>163831</xdr:rowOff>
    </xdr:from>
    <xdr:to>
      <xdr:col>2</xdr:col>
      <xdr:colOff>704850</xdr:colOff>
      <xdr:row>5</xdr:row>
      <xdr:rowOff>209550</xdr:rowOff>
    </xdr:to>
    <xdr:sp macro="" textlink="">
      <xdr:nvSpPr>
        <xdr:cNvPr id="2" name="1 Flecha derecha"/>
        <xdr:cNvSpPr/>
      </xdr:nvSpPr>
      <xdr:spPr>
        <a:xfrm>
          <a:off x="1600200" y="1354456"/>
          <a:ext cx="6286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38099</xdr:colOff>
      <xdr:row>5</xdr:row>
      <xdr:rowOff>104775</xdr:rowOff>
    </xdr:from>
    <xdr:to>
      <xdr:col>4</xdr:col>
      <xdr:colOff>676275</xdr:colOff>
      <xdr:row>5</xdr:row>
      <xdr:rowOff>150494</xdr:rowOff>
    </xdr:to>
    <xdr:sp macro="" textlink="">
      <xdr:nvSpPr>
        <xdr:cNvPr id="3" name="2 Flecha derecha"/>
        <xdr:cNvSpPr/>
      </xdr:nvSpPr>
      <xdr:spPr>
        <a:xfrm>
          <a:off x="3086099" y="1295400"/>
          <a:ext cx="638176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</xdr:colOff>
      <xdr:row>5</xdr:row>
      <xdr:rowOff>295275</xdr:rowOff>
    </xdr:from>
    <xdr:to>
      <xdr:col>4</xdr:col>
      <xdr:colOff>676275</xdr:colOff>
      <xdr:row>5</xdr:row>
      <xdr:rowOff>340994</xdr:rowOff>
    </xdr:to>
    <xdr:sp macro="" textlink="">
      <xdr:nvSpPr>
        <xdr:cNvPr id="4" name="3 Flecha derecha"/>
        <xdr:cNvSpPr/>
      </xdr:nvSpPr>
      <xdr:spPr>
        <a:xfrm>
          <a:off x="3095625" y="1485900"/>
          <a:ext cx="6286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76200</xdr:colOff>
      <xdr:row>5</xdr:row>
      <xdr:rowOff>57150</xdr:rowOff>
    </xdr:from>
    <xdr:to>
      <xdr:col>6</xdr:col>
      <xdr:colOff>704850</xdr:colOff>
      <xdr:row>5</xdr:row>
      <xdr:rowOff>102869</xdr:rowOff>
    </xdr:to>
    <xdr:sp macro="" textlink="">
      <xdr:nvSpPr>
        <xdr:cNvPr id="5" name="4 Flecha derecha"/>
        <xdr:cNvSpPr/>
      </xdr:nvSpPr>
      <xdr:spPr>
        <a:xfrm>
          <a:off x="4648200" y="1247775"/>
          <a:ext cx="6286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66675</xdr:colOff>
      <xdr:row>5</xdr:row>
      <xdr:rowOff>180975</xdr:rowOff>
    </xdr:from>
    <xdr:to>
      <xdr:col>6</xdr:col>
      <xdr:colOff>695325</xdr:colOff>
      <xdr:row>5</xdr:row>
      <xdr:rowOff>226694</xdr:rowOff>
    </xdr:to>
    <xdr:sp macro="" textlink="">
      <xdr:nvSpPr>
        <xdr:cNvPr id="6" name="5 Flecha derecha"/>
        <xdr:cNvSpPr/>
      </xdr:nvSpPr>
      <xdr:spPr>
        <a:xfrm>
          <a:off x="4638675" y="1371600"/>
          <a:ext cx="6286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57150</xdr:colOff>
      <xdr:row>5</xdr:row>
      <xdr:rowOff>323850</xdr:rowOff>
    </xdr:from>
    <xdr:to>
      <xdr:col>6</xdr:col>
      <xdr:colOff>685800</xdr:colOff>
      <xdr:row>5</xdr:row>
      <xdr:rowOff>369569</xdr:rowOff>
    </xdr:to>
    <xdr:sp macro="" textlink="">
      <xdr:nvSpPr>
        <xdr:cNvPr id="7" name="6 Flecha derecha"/>
        <xdr:cNvSpPr/>
      </xdr:nvSpPr>
      <xdr:spPr>
        <a:xfrm>
          <a:off x="4629150" y="1514475"/>
          <a:ext cx="6286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19050</xdr:colOff>
      <xdr:row>3</xdr:row>
      <xdr:rowOff>209550</xdr:rowOff>
    </xdr:from>
    <xdr:to>
      <xdr:col>8</xdr:col>
      <xdr:colOff>704850</xdr:colOff>
      <xdr:row>5</xdr:row>
      <xdr:rowOff>95250</xdr:rowOff>
    </xdr:to>
    <xdr:cxnSp macro="">
      <xdr:nvCxnSpPr>
        <xdr:cNvPr id="9" name="8 Conector recto de flecha"/>
        <xdr:cNvCxnSpPr/>
      </xdr:nvCxnSpPr>
      <xdr:spPr>
        <a:xfrm flipV="1">
          <a:off x="6115050" y="790575"/>
          <a:ext cx="685800" cy="4953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</xdr:row>
      <xdr:rowOff>133350</xdr:rowOff>
    </xdr:from>
    <xdr:to>
      <xdr:col>8</xdr:col>
      <xdr:colOff>704850</xdr:colOff>
      <xdr:row>5</xdr:row>
      <xdr:rowOff>9525</xdr:rowOff>
    </xdr:to>
    <xdr:cxnSp macro="">
      <xdr:nvCxnSpPr>
        <xdr:cNvPr id="11" name="10 Conector recto de flecha"/>
        <xdr:cNvCxnSpPr/>
      </xdr:nvCxnSpPr>
      <xdr:spPr>
        <a:xfrm flipV="1">
          <a:off x="6143625" y="714375"/>
          <a:ext cx="657225" cy="485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5</xdr:row>
      <xdr:rowOff>161925</xdr:rowOff>
    </xdr:from>
    <xdr:to>
      <xdr:col>8</xdr:col>
      <xdr:colOff>704850</xdr:colOff>
      <xdr:row>5</xdr:row>
      <xdr:rowOff>180975</xdr:rowOff>
    </xdr:to>
    <xdr:cxnSp macro="">
      <xdr:nvCxnSpPr>
        <xdr:cNvPr id="14" name="13 Conector recto de flecha"/>
        <xdr:cNvCxnSpPr/>
      </xdr:nvCxnSpPr>
      <xdr:spPr>
        <a:xfrm flipV="1">
          <a:off x="6134100" y="1352550"/>
          <a:ext cx="6667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5</xdr:row>
      <xdr:rowOff>238125</xdr:rowOff>
    </xdr:from>
    <xdr:to>
      <xdr:col>8</xdr:col>
      <xdr:colOff>742950</xdr:colOff>
      <xdr:row>5</xdr:row>
      <xdr:rowOff>247650</xdr:rowOff>
    </xdr:to>
    <xdr:cxnSp macro="">
      <xdr:nvCxnSpPr>
        <xdr:cNvPr id="18" name="17 Conector recto de flecha"/>
        <xdr:cNvCxnSpPr/>
      </xdr:nvCxnSpPr>
      <xdr:spPr>
        <a:xfrm flipV="1">
          <a:off x="6162675" y="1428750"/>
          <a:ext cx="6762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5</xdr:row>
      <xdr:rowOff>333375</xdr:rowOff>
    </xdr:from>
    <xdr:to>
      <xdr:col>8</xdr:col>
      <xdr:colOff>733425</xdr:colOff>
      <xdr:row>7</xdr:row>
      <xdr:rowOff>219075</xdr:rowOff>
    </xdr:to>
    <xdr:cxnSp macro="">
      <xdr:nvCxnSpPr>
        <xdr:cNvPr id="20" name="19 Conector recto de flecha"/>
        <xdr:cNvCxnSpPr/>
      </xdr:nvCxnSpPr>
      <xdr:spPr>
        <a:xfrm>
          <a:off x="6162675" y="1524000"/>
          <a:ext cx="666750" cy="504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6</xdr:row>
      <xdr:rowOff>0</xdr:rowOff>
    </xdr:from>
    <xdr:to>
      <xdr:col>8</xdr:col>
      <xdr:colOff>685800</xdr:colOff>
      <xdr:row>7</xdr:row>
      <xdr:rowOff>295275</xdr:rowOff>
    </xdr:to>
    <xdr:cxnSp macro="">
      <xdr:nvCxnSpPr>
        <xdr:cNvPr id="22" name="21 Conector recto de flecha"/>
        <xdr:cNvCxnSpPr/>
      </xdr:nvCxnSpPr>
      <xdr:spPr>
        <a:xfrm>
          <a:off x="6115050" y="1600200"/>
          <a:ext cx="666750" cy="504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</xdr:row>
      <xdr:rowOff>314325</xdr:rowOff>
    </xdr:from>
    <xdr:to>
      <xdr:col>1</xdr:col>
      <xdr:colOff>466725</xdr:colOff>
      <xdr:row>5</xdr:row>
      <xdr:rowOff>9525</xdr:rowOff>
    </xdr:to>
    <xdr:cxnSp macro="">
      <xdr:nvCxnSpPr>
        <xdr:cNvPr id="24" name="23 Conector recto de flecha"/>
        <xdr:cNvCxnSpPr/>
      </xdr:nvCxnSpPr>
      <xdr:spPr>
        <a:xfrm>
          <a:off x="1219200" y="895350"/>
          <a:ext cx="9525" cy="304800"/>
        </a:xfrm>
        <a:prstGeom prst="straightConnector1">
          <a:avLst/>
        </a:prstGeom>
        <a:ln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3</xdr:row>
      <xdr:rowOff>314325</xdr:rowOff>
    </xdr:from>
    <xdr:to>
      <xdr:col>3</xdr:col>
      <xdr:colOff>466725</xdr:colOff>
      <xdr:row>5</xdr:row>
      <xdr:rowOff>9525</xdr:rowOff>
    </xdr:to>
    <xdr:cxnSp macro="">
      <xdr:nvCxnSpPr>
        <xdr:cNvPr id="25" name="24 Conector recto de flecha"/>
        <xdr:cNvCxnSpPr/>
      </xdr:nvCxnSpPr>
      <xdr:spPr>
        <a:xfrm>
          <a:off x="1219200" y="895350"/>
          <a:ext cx="9525" cy="304800"/>
        </a:xfrm>
        <a:prstGeom prst="straightConnector1">
          <a:avLst/>
        </a:prstGeom>
        <a:ln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3</xdr:row>
      <xdr:rowOff>314325</xdr:rowOff>
    </xdr:from>
    <xdr:to>
      <xdr:col>5</xdr:col>
      <xdr:colOff>466725</xdr:colOff>
      <xdr:row>5</xdr:row>
      <xdr:rowOff>9525</xdr:rowOff>
    </xdr:to>
    <xdr:cxnSp macro="">
      <xdr:nvCxnSpPr>
        <xdr:cNvPr id="26" name="25 Conector recto de flecha"/>
        <xdr:cNvCxnSpPr/>
      </xdr:nvCxnSpPr>
      <xdr:spPr>
        <a:xfrm>
          <a:off x="1219200" y="895350"/>
          <a:ext cx="9525" cy="304800"/>
        </a:xfrm>
        <a:prstGeom prst="straightConnector1">
          <a:avLst/>
        </a:prstGeom>
        <a:ln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1"/>
  <sheetViews>
    <sheetView topLeftCell="A112" workbookViewId="0">
      <selection activeCell="C46" sqref="C46"/>
    </sheetView>
  </sheetViews>
  <sheetFormatPr baseColWidth="10" defaultRowHeight="15"/>
  <cols>
    <col min="1" max="1" width="30.42578125" customWidth="1"/>
    <col min="2" max="2" width="15.42578125" customWidth="1"/>
    <col min="3" max="6" width="17.7109375" bestFit="1" customWidth="1"/>
    <col min="7" max="7" width="14.85546875" customWidth="1"/>
    <col min="8" max="8" width="14.42578125" bestFit="1" customWidth="1"/>
    <col min="9" max="9" width="14.28515625" customWidth="1"/>
    <col min="10" max="10" width="13.140625" bestFit="1" customWidth="1"/>
    <col min="11" max="11" width="14.7109375" customWidth="1"/>
  </cols>
  <sheetData>
    <row r="1" spans="1:11" ht="16.5" thickTop="1" thickBot="1">
      <c r="A1" s="1"/>
      <c r="B1" s="29" t="s">
        <v>0</v>
      </c>
      <c r="C1" s="97" t="s">
        <v>27</v>
      </c>
      <c r="D1" s="97" t="s">
        <v>28</v>
      </c>
      <c r="E1" s="97" t="s">
        <v>29</v>
      </c>
      <c r="F1" s="97" t="s">
        <v>30</v>
      </c>
      <c r="G1" s="97" t="s">
        <v>60</v>
      </c>
      <c r="H1" s="97" t="s">
        <v>61</v>
      </c>
      <c r="I1" s="97" t="s">
        <v>62</v>
      </c>
      <c r="J1" s="74" t="s">
        <v>1</v>
      </c>
      <c r="K1" s="31" t="s">
        <v>2</v>
      </c>
    </row>
    <row r="2" spans="1:11">
      <c r="A2" s="2" t="s">
        <v>3</v>
      </c>
      <c r="B2" s="32"/>
      <c r="C2" s="42"/>
      <c r="D2" s="42"/>
      <c r="E2" s="42"/>
      <c r="F2" s="42"/>
      <c r="G2" s="42"/>
      <c r="H2" s="42"/>
      <c r="I2" s="42"/>
      <c r="J2" s="42"/>
      <c r="K2" s="34"/>
    </row>
    <row r="3" spans="1:11">
      <c r="A3" s="3" t="s">
        <v>142</v>
      </c>
      <c r="B3" s="32"/>
      <c r="C3" s="42">
        <f>+DATOS!C4</f>
        <v>1333</v>
      </c>
      <c r="D3" s="42">
        <f>+DATOS!D4</f>
        <v>1830</v>
      </c>
      <c r="E3" s="42">
        <f>+DATOS!E4</f>
        <v>2300</v>
      </c>
      <c r="F3" s="42">
        <f>+DATOS!F4</f>
        <v>1450</v>
      </c>
      <c r="G3" s="42"/>
      <c r="H3" s="42"/>
      <c r="I3" s="42"/>
      <c r="J3" s="42"/>
      <c r="K3" s="35">
        <f t="shared" ref="K3:K15" si="0">SUM(B3:J3)</f>
        <v>6913</v>
      </c>
    </row>
    <row r="4" spans="1:11">
      <c r="A4" s="3" t="s">
        <v>46</v>
      </c>
      <c r="B4" s="32"/>
      <c r="C4" s="42"/>
      <c r="D4" s="42"/>
      <c r="E4" s="42"/>
      <c r="F4" s="42"/>
      <c r="G4" s="42">
        <f>+DATOS!G5</f>
        <v>2260</v>
      </c>
      <c r="H4" s="42">
        <f>+DATOS!H5</f>
        <v>3420</v>
      </c>
      <c r="I4" s="42">
        <f>+DATOS!I5</f>
        <v>4420.1000000000004</v>
      </c>
      <c r="J4" s="42"/>
      <c r="K4" s="35">
        <f t="shared" si="0"/>
        <v>10100.1</v>
      </c>
    </row>
    <row r="5" spans="1:11">
      <c r="A5" s="3" t="s">
        <v>5</v>
      </c>
      <c r="B5" s="32">
        <f>+DATOS!B6</f>
        <v>2300</v>
      </c>
      <c r="C5" s="42">
        <f>+DATOS!C6</f>
        <v>960</v>
      </c>
      <c r="D5" s="42">
        <f>+DATOS!D6</f>
        <v>840</v>
      </c>
      <c r="E5" s="42">
        <f>+DATOS!E6</f>
        <v>580</v>
      </c>
      <c r="F5" s="42">
        <f>+DATOS!F6</f>
        <v>920</v>
      </c>
      <c r="G5" s="42">
        <f>+DATOS!G6</f>
        <v>560</v>
      </c>
      <c r="H5" s="42">
        <f>+DATOS!H6</f>
        <v>402.9</v>
      </c>
      <c r="I5" s="42">
        <f>+DATOS!I6</f>
        <v>340</v>
      </c>
      <c r="J5" s="42">
        <f>+DATOS!J6</f>
        <v>740</v>
      </c>
      <c r="K5" s="34">
        <f t="shared" si="0"/>
        <v>7642.9</v>
      </c>
    </row>
    <row r="6" spans="1:11">
      <c r="A6" s="3" t="s">
        <v>6</v>
      </c>
      <c r="B6" s="32">
        <f>+DATOS!B7</f>
        <v>850</v>
      </c>
      <c r="C6" s="42">
        <f>+DATOS!C7</f>
        <v>1250</v>
      </c>
      <c r="D6" s="75"/>
      <c r="E6" s="75"/>
      <c r="F6" s="42">
        <f>+DATOS!F7</f>
        <v>3620</v>
      </c>
      <c r="G6" s="42">
        <f>+DATOS!G7</f>
        <v>1261.4000000000001</v>
      </c>
      <c r="H6" s="42">
        <f>+DATOS!H7</f>
        <v>500</v>
      </c>
      <c r="I6" s="75"/>
      <c r="J6" s="42">
        <f>+DATOS!J7</f>
        <v>2300</v>
      </c>
      <c r="K6" s="34">
        <f t="shared" si="0"/>
        <v>9781.4</v>
      </c>
    </row>
    <row r="7" spans="1:11">
      <c r="A7" s="3" t="s">
        <v>22</v>
      </c>
      <c r="B7" s="36"/>
      <c r="C7" s="75"/>
      <c r="D7" s="75"/>
      <c r="E7" s="75"/>
      <c r="F7" s="75"/>
      <c r="G7" s="75"/>
      <c r="H7" s="75"/>
      <c r="I7" s="75"/>
      <c r="J7" s="42">
        <f>+DATOS!J8</f>
        <v>5600</v>
      </c>
      <c r="K7" s="34">
        <f t="shared" si="0"/>
        <v>5600</v>
      </c>
    </row>
    <row r="8" spans="1:11">
      <c r="A8" s="98" t="s">
        <v>141</v>
      </c>
      <c r="B8" s="32">
        <f>+DATOS!B9</f>
        <v>1575</v>
      </c>
      <c r="C8" s="42">
        <f>+DATOS!C9</f>
        <v>1983.9</v>
      </c>
      <c r="D8" s="42">
        <f>+DATOS!D9</f>
        <v>918</v>
      </c>
      <c r="E8" s="42">
        <f>+DATOS!E9</f>
        <v>2232</v>
      </c>
      <c r="F8" s="42">
        <f>+DATOS!F9</f>
        <v>2795</v>
      </c>
      <c r="G8" s="75"/>
      <c r="H8" s="75"/>
      <c r="I8" s="75"/>
      <c r="J8" s="75"/>
      <c r="K8" s="34">
        <f t="shared" si="0"/>
        <v>9503.9</v>
      </c>
    </row>
    <row r="9" spans="1:11">
      <c r="A9" s="2" t="s">
        <v>7</v>
      </c>
      <c r="B9" s="36"/>
      <c r="C9" s="75"/>
      <c r="D9" s="75"/>
      <c r="E9" s="75"/>
      <c r="F9" s="75"/>
      <c r="G9" s="75"/>
      <c r="H9" s="75"/>
      <c r="I9" s="75"/>
      <c r="J9" s="75"/>
      <c r="K9" s="34"/>
    </row>
    <row r="10" spans="1:11">
      <c r="A10" s="3" t="s">
        <v>8</v>
      </c>
      <c r="B10" s="32">
        <f>+DATOS!B11</f>
        <v>6900</v>
      </c>
      <c r="C10" s="42">
        <f>+DATOS!C11</f>
        <v>1800</v>
      </c>
      <c r="D10" s="42">
        <f>+DATOS!D11</f>
        <v>2200</v>
      </c>
      <c r="E10" s="42">
        <f>+DATOS!E11</f>
        <v>1400</v>
      </c>
      <c r="F10" s="42">
        <f>+DATOS!F11</f>
        <v>1600</v>
      </c>
      <c r="G10" s="42">
        <f>+DATOS!G11</f>
        <v>640</v>
      </c>
      <c r="H10" s="42">
        <f>+DATOS!H11</f>
        <v>710</v>
      </c>
      <c r="I10" s="42">
        <f>+DATOS!I11</f>
        <v>520</v>
      </c>
      <c r="J10" s="42">
        <f>+DATOS!J11</f>
        <v>7200</v>
      </c>
      <c r="K10" s="34">
        <f t="shared" si="0"/>
        <v>22970</v>
      </c>
    </row>
    <row r="11" spans="1:11">
      <c r="A11" s="3" t="s">
        <v>5</v>
      </c>
      <c r="B11" s="32">
        <f>+DATOS!B12</f>
        <v>220</v>
      </c>
      <c r="C11" s="42">
        <f>+DATOS!C12</f>
        <v>120</v>
      </c>
      <c r="D11" s="42">
        <f>+DATOS!D12</f>
        <v>82</v>
      </c>
      <c r="E11" s="42">
        <f>+DATOS!E12</f>
        <v>60</v>
      </c>
      <c r="F11" s="42">
        <f>+DATOS!F12</f>
        <v>101</v>
      </c>
      <c r="G11" s="42">
        <f>+DATOS!G12</f>
        <v>46</v>
      </c>
      <c r="H11" s="42">
        <f>+DATOS!H12</f>
        <v>45</v>
      </c>
      <c r="I11" s="42">
        <f>+DATOS!I12</f>
        <v>38</v>
      </c>
      <c r="J11" s="42">
        <f>+DATOS!J12</f>
        <v>75</v>
      </c>
      <c r="K11" s="34">
        <f t="shared" si="0"/>
        <v>787</v>
      </c>
    </row>
    <row r="12" spans="1:11">
      <c r="A12" s="3" t="s">
        <v>143</v>
      </c>
      <c r="B12" s="32">
        <f>+DATOS!B13</f>
        <v>390</v>
      </c>
      <c r="C12" s="42">
        <f>+DATOS!C13</f>
        <v>540</v>
      </c>
      <c r="D12" s="42">
        <f>+DATOS!D13</f>
        <v>480</v>
      </c>
      <c r="E12" s="42">
        <f>+DATOS!E13</f>
        <v>320</v>
      </c>
      <c r="F12" s="42">
        <f>+DATOS!F13</f>
        <v>350</v>
      </c>
      <c r="G12" s="42">
        <f>+DATOS!G13</f>
        <v>420</v>
      </c>
      <c r="H12" s="42">
        <f>+DATOS!H13</f>
        <v>480</v>
      </c>
      <c r="I12" s="42">
        <f>+DATOS!I13</f>
        <v>440</v>
      </c>
      <c r="J12" s="42">
        <f>+DATOS!J13</f>
        <v>780</v>
      </c>
      <c r="K12" s="34">
        <f t="shared" si="0"/>
        <v>4200</v>
      </c>
    </row>
    <row r="13" spans="1:11">
      <c r="A13" s="3" t="s">
        <v>10</v>
      </c>
      <c r="B13" s="36"/>
      <c r="C13" s="75"/>
      <c r="D13" s="75"/>
      <c r="E13" s="75"/>
      <c r="F13" s="75"/>
      <c r="G13" s="75"/>
      <c r="H13" s="75"/>
      <c r="I13" s="75"/>
      <c r="J13" s="42">
        <f>+DATOS!J14</f>
        <v>1330</v>
      </c>
      <c r="K13" s="34">
        <f t="shared" si="0"/>
        <v>1330</v>
      </c>
    </row>
    <row r="14" spans="1:11">
      <c r="A14" s="3" t="s">
        <v>11</v>
      </c>
      <c r="B14" s="32">
        <f>+DATOS!B15</f>
        <v>1400</v>
      </c>
      <c r="C14" s="42">
        <f>+DATOS!C15</f>
        <v>2200</v>
      </c>
      <c r="D14" s="42">
        <f>+DATOS!D15</f>
        <v>2030</v>
      </c>
      <c r="E14" s="42">
        <f>+DATOS!E15</f>
        <v>1900</v>
      </c>
      <c r="F14" s="42">
        <f>+DATOS!F15</f>
        <v>1600</v>
      </c>
      <c r="G14" s="42">
        <f>+DATOS!G15</f>
        <v>2200</v>
      </c>
      <c r="H14" s="42">
        <f>+DATOS!H15</f>
        <v>2060</v>
      </c>
      <c r="I14" s="42">
        <f>+DATOS!I15</f>
        <v>4200</v>
      </c>
      <c r="J14" s="42">
        <f>+DATOS!J15</f>
        <v>8150</v>
      </c>
      <c r="K14" s="34">
        <f t="shared" si="0"/>
        <v>25740</v>
      </c>
    </row>
    <row r="15" spans="1:11">
      <c r="A15" s="99" t="s">
        <v>141</v>
      </c>
      <c r="B15" s="76">
        <f>+DATOS!B16</f>
        <v>58</v>
      </c>
      <c r="C15" s="73">
        <f>+DATOS!C16</f>
        <v>91</v>
      </c>
      <c r="D15" s="73">
        <f>+DATOS!D16</f>
        <v>86</v>
      </c>
      <c r="E15" s="73">
        <f>+DATOS!E16</f>
        <v>79</v>
      </c>
      <c r="F15" s="73">
        <f>+DATOS!F16</f>
        <v>66</v>
      </c>
      <c r="G15" s="73">
        <f>+DATOS!G16</f>
        <v>91</v>
      </c>
      <c r="H15" s="73">
        <f>+DATOS!H16</f>
        <v>108</v>
      </c>
      <c r="I15" s="73">
        <f>+DATOS!I16</f>
        <v>173</v>
      </c>
      <c r="J15" s="73">
        <f>+DATOS!J16</f>
        <v>347</v>
      </c>
      <c r="K15" s="40">
        <f t="shared" si="0"/>
        <v>1099</v>
      </c>
    </row>
    <row r="16" spans="1:11">
      <c r="A16" s="3" t="s">
        <v>2</v>
      </c>
      <c r="B16" s="36">
        <f t="shared" ref="B16:K16" si="1">SUM(B2:B15)</f>
        <v>13693</v>
      </c>
      <c r="C16" s="75">
        <f t="shared" si="1"/>
        <v>10277.9</v>
      </c>
      <c r="D16" s="75">
        <f t="shared" si="1"/>
        <v>8466</v>
      </c>
      <c r="E16" s="75">
        <f t="shared" si="1"/>
        <v>8871</v>
      </c>
      <c r="F16" s="75">
        <f t="shared" si="1"/>
        <v>12502</v>
      </c>
      <c r="G16" s="75">
        <f t="shared" si="1"/>
        <v>7478.4</v>
      </c>
      <c r="H16" s="75">
        <f t="shared" si="1"/>
        <v>7725.9</v>
      </c>
      <c r="I16" s="75">
        <f t="shared" si="1"/>
        <v>10131.1</v>
      </c>
      <c r="J16" s="75">
        <f t="shared" si="1"/>
        <v>26522</v>
      </c>
      <c r="K16" s="41">
        <f t="shared" si="1"/>
        <v>105667.3</v>
      </c>
    </row>
    <row r="17" spans="1:11">
      <c r="A17" s="3" t="s">
        <v>144</v>
      </c>
      <c r="B17" s="36">
        <f>SUM(B3:B8)</f>
        <v>4725</v>
      </c>
      <c r="C17" s="75">
        <f t="shared" ref="C17:J17" si="2">SUM(C3:C8)</f>
        <v>5526.9</v>
      </c>
      <c r="D17" s="75">
        <f t="shared" si="2"/>
        <v>3588</v>
      </c>
      <c r="E17" s="75">
        <f t="shared" si="2"/>
        <v>5112</v>
      </c>
      <c r="F17" s="75">
        <f t="shared" si="2"/>
        <v>8785</v>
      </c>
      <c r="G17" s="75">
        <f t="shared" si="2"/>
        <v>4081.4</v>
      </c>
      <c r="H17" s="75">
        <f t="shared" si="2"/>
        <v>4322.8999999999996</v>
      </c>
      <c r="I17" s="75">
        <f t="shared" si="2"/>
        <v>4760.1000000000004</v>
      </c>
      <c r="J17" s="75">
        <f t="shared" si="2"/>
        <v>8640</v>
      </c>
      <c r="K17" s="41">
        <f>SUM(B17:J17)</f>
        <v>49541.3</v>
      </c>
    </row>
    <row r="18" spans="1:11">
      <c r="A18" s="3" t="s">
        <v>145</v>
      </c>
      <c r="B18" s="36">
        <f>SUM(B10:B15)</f>
        <v>8968</v>
      </c>
      <c r="C18" s="75">
        <f t="shared" ref="C18:J18" si="3">SUM(C10:C15)</f>
        <v>4751</v>
      </c>
      <c r="D18" s="75">
        <f t="shared" si="3"/>
        <v>4878</v>
      </c>
      <c r="E18" s="75">
        <f t="shared" si="3"/>
        <v>3759</v>
      </c>
      <c r="F18" s="75">
        <f t="shared" si="3"/>
        <v>3717</v>
      </c>
      <c r="G18" s="75">
        <f t="shared" si="3"/>
        <v>3397</v>
      </c>
      <c r="H18" s="75">
        <f t="shared" si="3"/>
        <v>3403</v>
      </c>
      <c r="I18" s="75">
        <f t="shared" si="3"/>
        <v>5371</v>
      </c>
      <c r="J18" s="75">
        <f t="shared" si="3"/>
        <v>17882</v>
      </c>
      <c r="K18" s="41">
        <f>SUM(B18:J18)</f>
        <v>56126</v>
      </c>
    </row>
    <row r="19" spans="1:11">
      <c r="A19" s="3" t="s">
        <v>12</v>
      </c>
      <c r="B19" s="32" t="s">
        <v>75</v>
      </c>
      <c r="C19" s="42" t="s">
        <v>76</v>
      </c>
      <c r="D19" s="42" t="s">
        <v>20</v>
      </c>
      <c r="E19" s="42" t="s">
        <v>20</v>
      </c>
      <c r="F19" s="42" t="s">
        <v>76</v>
      </c>
      <c r="G19" s="42" t="s">
        <v>76</v>
      </c>
      <c r="H19" s="42" t="s">
        <v>76</v>
      </c>
      <c r="I19" s="42" t="s">
        <v>77</v>
      </c>
      <c r="J19" s="77" t="s">
        <v>13</v>
      </c>
      <c r="K19" s="41"/>
    </row>
    <row r="20" spans="1:11">
      <c r="A20" s="3" t="s">
        <v>14</v>
      </c>
      <c r="B20" s="32">
        <f>+DATOS!B23+DATOS!D23+DATOS!F23</f>
        <v>52500</v>
      </c>
      <c r="C20" s="42">
        <f>+DATOS!B28</f>
        <v>30705</v>
      </c>
      <c r="D20" s="42">
        <f>+DATOS!C45</f>
        <v>368</v>
      </c>
      <c r="E20" s="42">
        <f>+DATOS!D45</f>
        <v>710</v>
      </c>
      <c r="F20" s="42">
        <f>+DATOS!H31</f>
        <v>31375</v>
      </c>
      <c r="G20" s="42">
        <f>+DATOS!B38</f>
        <v>12004</v>
      </c>
      <c r="H20" s="42">
        <f>+DATOS!E38</f>
        <v>6754.5</v>
      </c>
      <c r="I20" s="42">
        <f>+DATOS!J38</f>
        <v>52890</v>
      </c>
      <c r="J20" s="42">
        <f>+H93</f>
        <v>278483</v>
      </c>
      <c r="K20" s="41"/>
    </row>
    <row r="21" spans="1:11" ht="15.75" thickBot="1">
      <c r="A21" s="70" t="s">
        <v>45</v>
      </c>
      <c r="B21" s="71">
        <f>+B17/B20</f>
        <v>0.09</v>
      </c>
      <c r="C21" s="72">
        <f>+C17/C20</f>
        <v>0.18</v>
      </c>
      <c r="D21" s="72">
        <f t="shared" ref="D21:J21" si="4">+D17/D20</f>
        <v>9.75</v>
      </c>
      <c r="E21" s="72">
        <f t="shared" si="4"/>
        <v>7.2</v>
      </c>
      <c r="F21" s="72">
        <f t="shared" si="4"/>
        <v>0.28000000000000003</v>
      </c>
      <c r="G21" s="72">
        <f t="shared" si="4"/>
        <v>0.34000333222259249</v>
      </c>
      <c r="H21" s="72">
        <f>+H17/H20</f>
        <v>0.64000296098897025</v>
      </c>
      <c r="I21" s="72">
        <f t="shared" si="4"/>
        <v>9.0000000000000011E-2</v>
      </c>
      <c r="J21" s="72">
        <f t="shared" si="4"/>
        <v>3.1025233138108968E-2</v>
      </c>
      <c r="K21" s="69"/>
    </row>
    <row r="22" spans="1:11" ht="15.75" thickTop="1">
      <c r="D22" s="23"/>
    </row>
    <row r="23" spans="1:11">
      <c r="B23" s="8"/>
      <c r="C23" s="8"/>
      <c r="D23" s="8"/>
    </row>
    <row r="24" spans="1:11" ht="18">
      <c r="C24" s="235" t="s">
        <v>34</v>
      </c>
      <c r="D24" s="235"/>
      <c r="F24" s="235" t="s">
        <v>35</v>
      </c>
      <c r="G24" s="235"/>
      <c r="I24" s="235" t="s">
        <v>146</v>
      </c>
      <c r="J24" s="235"/>
    </row>
    <row r="25" spans="1:11">
      <c r="B25" t="s">
        <v>42</v>
      </c>
      <c r="C25" s="17">
        <f>+DATOS!B22*DATOS!C22</f>
        <v>45720</v>
      </c>
      <c r="D25" s="13"/>
      <c r="E25" t="s">
        <v>40</v>
      </c>
      <c r="F25" s="17">
        <f>+DATOS!D22*DATOS!E22</f>
        <v>10668</v>
      </c>
      <c r="G25" s="5"/>
      <c r="H25" t="s">
        <v>41</v>
      </c>
      <c r="I25" s="17">
        <f>+DATOS!F22*DATOS!G22</f>
        <v>74360</v>
      </c>
      <c r="J25" s="5"/>
    </row>
    <row r="26" spans="1:11">
      <c r="B26" t="s">
        <v>64</v>
      </c>
      <c r="C26" s="18">
        <f>+DATOS!B23*(DATOS!C23+SOLUCIÓN!B21)</f>
        <v>57285.000000000007</v>
      </c>
      <c r="D26" s="19">
        <f>+C27*DATOS!B24</f>
        <v>82613.85738539898</v>
      </c>
      <c r="E26" t="s">
        <v>65</v>
      </c>
      <c r="F26" s="18">
        <f>+DATOS!D23*(DATOS!E23++SOLUCIÓN!B21)</f>
        <v>18626</v>
      </c>
      <c r="G26" s="19">
        <f>+F27*DATOS!D24</f>
        <v>21183.101807802093</v>
      </c>
      <c r="H26" t="s">
        <v>130</v>
      </c>
      <c r="I26" s="18">
        <f>+DATOS!F23*(DATOS!G23++SOLUCIÓN!B21)</f>
        <v>34664</v>
      </c>
      <c r="J26" s="19">
        <f>+I27*DATOS!F24</f>
        <v>88753.206030150759</v>
      </c>
    </row>
    <row r="27" spans="1:11">
      <c r="B27" s="16" t="s">
        <v>43</v>
      </c>
      <c r="C27" s="27">
        <f>+(C25+C26)/(DATOS!B22+DATOS!B23)</f>
        <v>1.7488115449915111</v>
      </c>
      <c r="D27" s="12"/>
      <c r="E27" s="16" t="s">
        <v>43</v>
      </c>
      <c r="F27" s="27">
        <f>+(F25+F26)/(DATOS!D22+DATOS!D23)</f>
        <v>1.3936251189343483</v>
      </c>
      <c r="H27" s="16" t="s">
        <v>43</v>
      </c>
      <c r="I27" s="27">
        <f>+(I25+I26)/(DATOS!F22+DATOS!F23)</f>
        <v>5.4785929648241209</v>
      </c>
    </row>
    <row r="28" spans="1:11">
      <c r="C28" s="15"/>
      <c r="D28" s="12"/>
      <c r="F28" s="10"/>
      <c r="I28" s="10"/>
    </row>
    <row r="29" spans="1:11" ht="15.75" thickBot="1"/>
    <row r="30" spans="1:11" ht="15.75" thickTop="1">
      <c r="A30" s="102"/>
      <c r="B30" s="141" t="s">
        <v>66</v>
      </c>
      <c r="C30" s="142" t="s">
        <v>67</v>
      </c>
      <c r="D30" s="142" t="s">
        <v>68</v>
      </c>
      <c r="E30" s="107" t="s">
        <v>2</v>
      </c>
      <c r="F30" s="21"/>
      <c r="G30" s="21"/>
      <c r="H30" s="21"/>
      <c r="I30" s="21"/>
      <c r="J30" s="21"/>
    </row>
    <row r="31" spans="1:11" ht="18">
      <c r="A31" s="108" t="s">
        <v>71</v>
      </c>
      <c r="B31" s="49">
        <f>+SOLUCIÓN!D26</f>
        <v>82613.85738539898</v>
      </c>
      <c r="C31" s="75"/>
      <c r="D31" s="75"/>
      <c r="E31" s="103">
        <f>SUM(B31:D31)</f>
        <v>82613.85738539898</v>
      </c>
      <c r="G31" s="26"/>
      <c r="K31" s="20"/>
    </row>
    <row r="32" spans="1:11" ht="18">
      <c r="A32" s="108" t="s">
        <v>70</v>
      </c>
      <c r="B32" s="49"/>
      <c r="C32" s="75">
        <f>+SOLUCIÓN!G26</f>
        <v>21183.101807802093</v>
      </c>
      <c r="D32" s="75"/>
      <c r="E32" s="103">
        <f t="shared" ref="E32:E37" si="5">SUM(B32:D32)</f>
        <v>21183.101807802093</v>
      </c>
    </row>
    <row r="33" spans="1:10" ht="18">
      <c r="A33" s="108" t="s">
        <v>148</v>
      </c>
      <c r="B33" s="49"/>
      <c r="C33" s="75"/>
      <c r="D33" s="75">
        <f>+SOLUCIÓN!J26</f>
        <v>88753.206030150759</v>
      </c>
      <c r="E33" s="103">
        <f t="shared" si="5"/>
        <v>88753.206030150759</v>
      </c>
    </row>
    <row r="34" spans="1:10">
      <c r="A34" s="108" t="s">
        <v>69</v>
      </c>
      <c r="B34" s="49">
        <f>+DATOS!G42</f>
        <v>10905.599999999999</v>
      </c>
      <c r="C34" s="75">
        <f>+DATOS!G43</f>
        <v>3408</v>
      </c>
      <c r="D34" s="75">
        <f>+DATOS!G44</f>
        <v>5396</v>
      </c>
      <c r="E34" s="103">
        <f t="shared" si="5"/>
        <v>19709.599999999999</v>
      </c>
    </row>
    <row r="35" spans="1:10">
      <c r="A35" s="108" t="s">
        <v>17</v>
      </c>
      <c r="B35" s="49">
        <f>+C17</f>
        <v>5526.9</v>
      </c>
      <c r="C35" s="75"/>
      <c r="D35" s="75"/>
      <c r="E35" s="103">
        <f t="shared" si="5"/>
        <v>5526.9</v>
      </c>
    </row>
    <row r="36" spans="1:10">
      <c r="A36" s="108" t="s">
        <v>18</v>
      </c>
      <c r="B36" s="49">
        <f>+D21*DATOS!C42</f>
        <v>2320.5</v>
      </c>
      <c r="C36" s="75">
        <f>+D21*DATOS!C43</f>
        <v>1267.5</v>
      </c>
      <c r="D36" s="75"/>
      <c r="E36" s="103">
        <f t="shared" si="5"/>
        <v>3588</v>
      </c>
    </row>
    <row r="37" spans="1:10">
      <c r="A37" s="109" t="s">
        <v>19</v>
      </c>
      <c r="B37" s="45">
        <f>+E21*DATOS!D42</f>
        <v>1584</v>
      </c>
      <c r="C37" s="111">
        <f>+E21*DATOS!D43</f>
        <v>792</v>
      </c>
      <c r="D37" s="111">
        <f>+E21*DATOS!D44</f>
        <v>2736</v>
      </c>
      <c r="E37" s="104">
        <f t="shared" si="5"/>
        <v>5112</v>
      </c>
    </row>
    <row r="38" spans="1:10">
      <c r="A38" s="108"/>
      <c r="B38" s="49">
        <f>SUM(B31:B37)</f>
        <v>102950.85738539897</v>
      </c>
      <c r="C38" s="75">
        <f>SUM(C31:C37)</f>
        <v>26650.601807802093</v>
      </c>
      <c r="D38" s="75">
        <f>SUM(D31:D37)</f>
        <v>96885.206030150759</v>
      </c>
      <c r="E38" s="103"/>
    </row>
    <row r="39" spans="1:10">
      <c r="A39" s="108" t="s">
        <v>147</v>
      </c>
      <c r="B39" s="49">
        <f>+DATOS!D28</f>
        <v>24140</v>
      </c>
      <c r="C39" s="75">
        <f>+DATOS!D29</f>
        <v>9080</v>
      </c>
      <c r="D39" s="75">
        <f>+DATOS!D30</f>
        <v>16100</v>
      </c>
      <c r="E39" s="103"/>
    </row>
    <row r="40" spans="1:10" ht="15.75" thickBot="1">
      <c r="A40" s="110" t="s">
        <v>73</v>
      </c>
      <c r="B40" s="105">
        <f>+B38/B39</f>
        <v>4.2647413995608519</v>
      </c>
      <c r="C40" s="112">
        <f t="shared" ref="C40:D40" si="6">+C38/C39</f>
        <v>2.9350883048240193</v>
      </c>
      <c r="D40" s="112">
        <f t="shared" si="6"/>
        <v>6.0177146602578109</v>
      </c>
      <c r="E40" s="106"/>
      <c r="F40" s="28"/>
    </row>
    <row r="41" spans="1:10" ht="16.5" thickTop="1" thickBot="1">
      <c r="A41" s="28"/>
      <c r="B41" s="28"/>
      <c r="C41" s="28"/>
      <c r="D41" s="28"/>
      <c r="E41" s="28"/>
      <c r="F41" s="28"/>
    </row>
    <row r="42" spans="1:10">
      <c r="A42" s="56"/>
      <c r="B42" s="236" t="s">
        <v>66</v>
      </c>
      <c r="C42" s="237"/>
      <c r="D42" s="238"/>
      <c r="E42" s="236" t="s">
        <v>67</v>
      </c>
      <c r="F42" s="237"/>
      <c r="G42" s="238"/>
      <c r="H42" s="236" t="s">
        <v>68</v>
      </c>
      <c r="I42" s="237"/>
      <c r="J42" s="238"/>
    </row>
    <row r="43" spans="1:10">
      <c r="A43" s="36"/>
      <c r="B43" s="47" t="s">
        <v>78</v>
      </c>
      <c r="C43" s="47" t="s">
        <v>79</v>
      </c>
      <c r="D43" s="48" t="s">
        <v>2</v>
      </c>
      <c r="E43" s="47" t="s">
        <v>78</v>
      </c>
      <c r="F43" s="47" t="s">
        <v>79</v>
      </c>
      <c r="G43" s="48" t="s">
        <v>2</v>
      </c>
      <c r="H43" s="47" t="s">
        <v>78</v>
      </c>
      <c r="I43" s="47" t="s">
        <v>79</v>
      </c>
      <c r="J43" s="48" t="s">
        <v>2</v>
      </c>
    </row>
    <row r="44" spans="1:10">
      <c r="A44" s="36" t="s">
        <v>80</v>
      </c>
      <c r="B44" s="49">
        <f>+B38</f>
        <v>102950.85738539897</v>
      </c>
      <c r="C44" s="49">
        <f>+F21*DATOS!H28</f>
        <v>4629.5200000000004</v>
      </c>
      <c r="D44" s="50">
        <f>SUM(B44:C44)</f>
        <v>107580.37738539897</v>
      </c>
      <c r="E44" s="49">
        <f>+C38</f>
        <v>26650.601807802093</v>
      </c>
      <c r="F44" s="49">
        <f>+F21*DATOS!H29</f>
        <v>1705.2000000000003</v>
      </c>
      <c r="G44" s="50">
        <f>SUM(E44:F44)</f>
        <v>28355.801807802094</v>
      </c>
      <c r="H44" s="49">
        <f>+D38</f>
        <v>96885.206030150759</v>
      </c>
      <c r="I44" s="49">
        <f>+F21*DATOS!H30</f>
        <v>2450.2800000000002</v>
      </c>
      <c r="J44" s="50">
        <f>SUM(H44:I44)</f>
        <v>99335.486030150758</v>
      </c>
    </row>
    <row r="45" spans="1:10">
      <c r="A45" s="57" t="s">
        <v>81</v>
      </c>
      <c r="B45" s="51">
        <f>+DATOS!E28</f>
        <v>16302</v>
      </c>
      <c r="C45" s="51">
        <f>+DATOS!E28</f>
        <v>16302</v>
      </c>
      <c r="D45" s="50"/>
      <c r="E45" s="51">
        <f>+DATOS!E29</f>
        <v>5370</v>
      </c>
      <c r="F45" s="51">
        <f>+DATOS!E29</f>
        <v>5370</v>
      </c>
      <c r="G45" s="50"/>
      <c r="H45" s="51">
        <f>+DATOS!E30</f>
        <v>8001</v>
      </c>
      <c r="I45" s="51">
        <f>+DATOS!E30</f>
        <v>8001</v>
      </c>
      <c r="J45" s="50"/>
    </row>
    <row r="46" spans="1:10">
      <c r="A46" s="58" t="s">
        <v>82</v>
      </c>
      <c r="B46" s="44">
        <f>+DATOS!F28</f>
        <v>400</v>
      </c>
      <c r="C46" s="44">
        <f>+DATOS!G28</f>
        <v>231.99999999999997</v>
      </c>
      <c r="D46" s="52"/>
      <c r="E46" s="44">
        <f>+DATOS!F29</f>
        <v>900</v>
      </c>
      <c r="F46" s="44">
        <f>+DATOS!G29</f>
        <v>720</v>
      </c>
      <c r="G46" s="52"/>
      <c r="H46" s="44">
        <f>+DATOS!F30</f>
        <v>1500</v>
      </c>
      <c r="I46" s="44">
        <f>+DATOS!G30</f>
        <v>750</v>
      </c>
      <c r="J46" s="52"/>
    </row>
    <row r="47" spans="1:10">
      <c r="A47" s="59" t="s">
        <v>84</v>
      </c>
      <c r="B47" s="46">
        <f>SUM(B45:B46)</f>
        <v>16702</v>
      </c>
      <c r="C47" s="46">
        <f>SUM(C45:C46)</f>
        <v>16534</v>
      </c>
      <c r="D47" s="53"/>
      <c r="E47" s="46">
        <f>SUM(E45:E46)</f>
        <v>6270</v>
      </c>
      <c r="F47" s="46">
        <f>SUM(F45:F46)</f>
        <v>6090</v>
      </c>
      <c r="G47" s="53"/>
      <c r="H47" s="46">
        <f>SUM(H45:H46)</f>
        <v>9501</v>
      </c>
      <c r="I47" s="46">
        <f>SUM(I45:I46)</f>
        <v>8751</v>
      </c>
      <c r="J47" s="53"/>
    </row>
    <row r="48" spans="1:10">
      <c r="A48" s="38" t="s">
        <v>85</v>
      </c>
      <c r="B48" s="45">
        <f>+B44/B47</f>
        <v>6.1639837974732945</v>
      </c>
      <c r="C48" s="45">
        <f>+C44/C47</f>
        <v>0.28000000000000003</v>
      </c>
      <c r="D48" s="52">
        <f>SUM(B48:C48)</f>
        <v>6.4439837974732948</v>
      </c>
      <c r="E48" s="45">
        <f>+E44/E47</f>
        <v>4.2504947061885314</v>
      </c>
      <c r="F48" s="45">
        <f>+F44/F47</f>
        <v>0.28000000000000003</v>
      </c>
      <c r="G48" s="52">
        <f>SUM(E48:F48)</f>
        <v>4.5304947061885317</v>
      </c>
      <c r="H48" s="45">
        <f>+H44/H47</f>
        <v>10.197369332717688</v>
      </c>
      <c r="I48" s="45">
        <f>+I44/I47</f>
        <v>0.28000000000000003</v>
      </c>
      <c r="J48" s="52">
        <f>SUM(H48:I48)</f>
        <v>10.477369332717688</v>
      </c>
    </row>
    <row r="49" spans="1:10">
      <c r="A49" s="36" t="s">
        <v>86</v>
      </c>
      <c r="B49" s="49"/>
      <c r="C49" s="49"/>
      <c r="D49" s="50"/>
      <c r="E49" s="49"/>
      <c r="F49" s="49"/>
      <c r="G49" s="50"/>
      <c r="H49" s="49"/>
      <c r="I49" s="49"/>
      <c r="J49" s="50"/>
    </row>
    <row r="50" spans="1:10">
      <c r="A50" s="57" t="s">
        <v>81</v>
      </c>
      <c r="B50" s="49">
        <f>+B45*$B$48</f>
        <v>100485.26386640964</v>
      </c>
      <c r="C50" s="49">
        <f>+C45*$C$48</f>
        <v>4564.5600000000004</v>
      </c>
      <c r="D50" s="50">
        <f>SUM(B50:C50)</f>
        <v>105049.82386640964</v>
      </c>
      <c r="E50" s="49">
        <f>+E45*$E$48</f>
        <v>22825.156572232412</v>
      </c>
      <c r="F50" s="49">
        <f>+F45*$F$48</f>
        <v>1503.6000000000001</v>
      </c>
      <c r="G50" s="50">
        <f>SUM(E50:F50)</f>
        <v>24328.756572232411</v>
      </c>
      <c r="H50" s="49">
        <f>+H45*$H$48</f>
        <v>81589.15203107422</v>
      </c>
      <c r="I50" s="49">
        <f>+I45*$I$48</f>
        <v>2240.2800000000002</v>
      </c>
      <c r="J50" s="50">
        <f>SUM(H50:I50)</f>
        <v>83829.432031074219</v>
      </c>
    </row>
    <row r="51" spans="1:10" ht="15.75" thickBot="1">
      <c r="A51" s="60" t="s">
        <v>82</v>
      </c>
      <c r="B51" s="54">
        <f>+B46*$B$48</f>
        <v>2465.593518989318</v>
      </c>
      <c r="C51" s="54">
        <f>+C46*$C$48</f>
        <v>64.959999999999994</v>
      </c>
      <c r="D51" s="55">
        <f>SUM(B51:C51)</f>
        <v>2530.553518989318</v>
      </c>
      <c r="E51" s="54">
        <f>+E46*$E$48</f>
        <v>3825.4452355696781</v>
      </c>
      <c r="F51" s="54">
        <f>+F46*$F$48</f>
        <v>201.60000000000002</v>
      </c>
      <c r="G51" s="55">
        <f>SUM(E51:F51)</f>
        <v>4027.045235569678</v>
      </c>
      <c r="H51" s="54">
        <f>+H46*$H$48</f>
        <v>15296.053999076532</v>
      </c>
      <c r="I51" s="54">
        <f>+I46*$I$48</f>
        <v>210.00000000000003</v>
      </c>
      <c r="J51" s="55">
        <f>SUM(H51:I51)</f>
        <v>15506.053999076532</v>
      </c>
    </row>
    <row r="52" spans="1:10">
      <c r="A52" s="28"/>
      <c r="B52" s="28"/>
      <c r="C52" s="28"/>
      <c r="D52" s="28"/>
      <c r="E52" s="28"/>
      <c r="F52" s="28"/>
    </row>
    <row r="53" spans="1:10">
      <c r="E53" s="28"/>
      <c r="F53" s="28"/>
    </row>
    <row r="54" spans="1:10">
      <c r="C54" s="239" t="s">
        <v>66</v>
      </c>
      <c r="D54" s="239"/>
      <c r="E54" s="140"/>
      <c r="F54" s="239" t="s">
        <v>67</v>
      </c>
      <c r="G54" s="239"/>
      <c r="H54" s="140"/>
      <c r="I54" s="239" t="s">
        <v>68</v>
      </c>
      <c r="J54" s="239"/>
    </row>
    <row r="55" spans="1:10">
      <c r="A55" s="16" t="s">
        <v>93</v>
      </c>
      <c r="B55" s="62" t="s">
        <v>97</v>
      </c>
      <c r="C55" s="61">
        <f>+SOLUCIÓN!D50</f>
        <v>105049.82386640964</v>
      </c>
      <c r="E55" s="62" t="s">
        <v>100</v>
      </c>
      <c r="F55" s="61">
        <f>+SOLUCIÓN!G50</f>
        <v>24328.756572232411</v>
      </c>
      <c r="H55" s="62" t="s">
        <v>103</v>
      </c>
      <c r="I55" s="61">
        <f>+SOLUCIÓN!J50</f>
        <v>83829.432031074219</v>
      </c>
    </row>
    <row r="56" spans="1:10">
      <c r="A56" s="16" t="s">
        <v>94</v>
      </c>
      <c r="B56" s="62" t="s">
        <v>98</v>
      </c>
      <c r="C56" s="10"/>
      <c r="D56" s="64">
        <f>+DATOS!A35*SOLUCIÓN!D48</f>
        <v>58898.011908905915</v>
      </c>
      <c r="E56" s="62" t="s">
        <v>101</v>
      </c>
      <c r="F56" s="10"/>
      <c r="G56" s="64">
        <f>+DATOS!A36*SOLUCIÓN!G48</f>
        <v>14089.838536246334</v>
      </c>
      <c r="H56" s="63"/>
      <c r="I56" s="10"/>
    </row>
    <row r="57" spans="1:10">
      <c r="A57" s="16" t="s">
        <v>95</v>
      </c>
      <c r="B57" s="63"/>
      <c r="C57" s="10"/>
      <c r="E57" s="62" t="s">
        <v>102</v>
      </c>
      <c r="F57" s="10"/>
      <c r="G57" s="64">
        <f>+DATOS!D36*SOLUCIÓN!G48</f>
        <v>7656.5360534586189</v>
      </c>
      <c r="H57" s="62" t="s">
        <v>104</v>
      </c>
      <c r="I57" s="10"/>
      <c r="J57" s="64">
        <f>+DATOS!D37*SOLUCIÓN!J48</f>
        <v>56787.341783329866</v>
      </c>
    </row>
    <row r="58" spans="1:10">
      <c r="A58" s="16" t="s">
        <v>96</v>
      </c>
      <c r="B58" s="62" t="s">
        <v>99</v>
      </c>
      <c r="C58" s="10"/>
      <c r="D58" s="64">
        <f>+DATOS!G35*SOLUCIÓN!D48</f>
        <v>20749.627827864009</v>
      </c>
      <c r="E58" s="63"/>
      <c r="F58" s="10"/>
      <c r="H58" s="62" t="s">
        <v>105</v>
      </c>
      <c r="I58" s="10"/>
      <c r="J58" s="64">
        <f>+DATOS!G37*SOLUCIÓN!J48</f>
        <v>26507.744411775748</v>
      </c>
    </row>
    <row r="59" spans="1:10">
      <c r="C59" s="10"/>
      <c r="E59" s="63"/>
      <c r="F59" s="10"/>
      <c r="H59" s="63"/>
      <c r="I59" s="10"/>
    </row>
    <row r="60" spans="1:10">
      <c r="E60" s="28"/>
      <c r="F60" s="28"/>
    </row>
    <row r="61" spans="1:10">
      <c r="E61" s="28"/>
      <c r="F61" s="28"/>
    </row>
    <row r="62" spans="1:10" ht="15.75" thickBot="1">
      <c r="E62" s="28"/>
      <c r="F62" s="28"/>
    </row>
    <row r="63" spans="1:10" ht="18.75" thickTop="1">
      <c r="A63" s="120"/>
      <c r="B63" s="138" t="s">
        <v>149</v>
      </c>
      <c r="C63" s="139" t="s">
        <v>150</v>
      </c>
      <c r="D63" s="139" t="s">
        <v>151</v>
      </c>
      <c r="E63" s="139" t="s">
        <v>152</v>
      </c>
      <c r="F63" s="139" t="s">
        <v>153</v>
      </c>
      <c r="G63" s="139" t="s">
        <v>154</v>
      </c>
      <c r="H63" s="101" t="s">
        <v>2</v>
      </c>
    </row>
    <row r="64" spans="1:10">
      <c r="A64" s="121" t="s">
        <v>66</v>
      </c>
      <c r="B64" s="49">
        <f>+SOLUCIÓN!D56</f>
        <v>58898.011908905915</v>
      </c>
      <c r="C64" s="75">
        <f>+SOLUCIÓN!D58</f>
        <v>20749.627827864009</v>
      </c>
      <c r="D64" s="75"/>
      <c r="E64" s="75"/>
      <c r="F64" s="75"/>
      <c r="G64" s="75"/>
      <c r="H64" s="103">
        <f t="shared" ref="H64:H69" si="7">SUM(B64:G64)</f>
        <v>79647.639736769925</v>
      </c>
    </row>
    <row r="65" spans="1:10">
      <c r="A65" s="121" t="s">
        <v>67</v>
      </c>
      <c r="B65" s="49"/>
      <c r="C65" s="75"/>
      <c r="D65" s="75">
        <f>+SOLUCIÓN!G56</f>
        <v>14089.838536246334</v>
      </c>
      <c r="E65" s="75">
        <f>+SOLUCIÓN!G57</f>
        <v>7656.5360534586189</v>
      </c>
      <c r="F65" s="75"/>
      <c r="G65" s="75"/>
      <c r="H65" s="103">
        <f t="shared" si="7"/>
        <v>21746.374589704952</v>
      </c>
    </row>
    <row r="66" spans="1:10">
      <c r="A66" s="121" t="s">
        <v>68</v>
      </c>
      <c r="B66" s="49"/>
      <c r="C66" s="75"/>
      <c r="D66" s="75"/>
      <c r="E66" s="75"/>
      <c r="F66" s="75">
        <f>+SOLUCIÓN!J57</f>
        <v>56787.341783329866</v>
      </c>
      <c r="G66" s="75">
        <f>+SOLUCIÓN!J58</f>
        <v>26507.744411775748</v>
      </c>
      <c r="H66" s="103">
        <f t="shared" si="7"/>
        <v>83295.086195105614</v>
      </c>
    </row>
    <row r="67" spans="1:10">
      <c r="A67" s="121" t="s">
        <v>15</v>
      </c>
      <c r="B67" s="49">
        <f>+G21*DATOS!B35</f>
        <v>3045.0698433855382</v>
      </c>
      <c r="C67" s="75"/>
      <c r="D67" s="75">
        <f>+G21*DATOS!B36</f>
        <v>1036.3301566144619</v>
      </c>
      <c r="E67" s="75"/>
      <c r="F67" s="75"/>
      <c r="G67" s="75"/>
      <c r="H67" s="103">
        <f t="shared" si="7"/>
        <v>4081.4</v>
      </c>
    </row>
    <row r="68" spans="1:10">
      <c r="A68" s="121" t="s">
        <v>21</v>
      </c>
      <c r="B68" s="49"/>
      <c r="C68" s="75"/>
      <c r="D68" s="75"/>
      <c r="E68" s="75">
        <f>+H21*DATOS!E36</f>
        <v>1027.5247538677918</v>
      </c>
      <c r="F68" s="75">
        <f>+H21*DATOS!E37</f>
        <v>3295.3752461322078</v>
      </c>
      <c r="G68" s="75"/>
      <c r="H68" s="103">
        <f t="shared" si="7"/>
        <v>4322.8999999999996</v>
      </c>
    </row>
    <row r="69" spans="1:10">
      <c r="A69" s="122" t="s">
        <v>16</v>
      </c>
      <c r="B69" s="45"/>
      <c r="C69" s="111">
        <f>+I21*DATOS!J35</f>
        <v>2665.8</v>
      </c>
      <c r="D69" s="111"/>
      <c r="E69" s="111"/>
      <c r="F69" s="111"/>
      <c r="G69" s="111">
        <f>+I21*DATOS!J37</f>
        <v>2094.3000000000002</v>
      </c>
      <c r="H69" s="104">
        <f t="shared" si="7"/>
        <v>4760.1000000000004</v>
      </c>
    </row>
    <row r="70" spans="1:10">
      <c r="A70" s="123" t="s">
        <v>2</v>
      </c>
      <c r="B70" s="49">
        <f>SUM(B64:B69)</f>
        <v>61943.081752291451</v>
      </c>
      <c r="C70" s="75">
        <f t="shared" ref="C70:G70" si="8">SUM(C64:C69)</f>
        <v>23415.427827864009</v>
      </c>
      <c r="D70" s="75">
        <f t="shared" si="8"/>
        <v>15126.168692860796</v>
      </c>
      <c r="E70" s="75">
        <f t="shared" si="8"/>
        <v>8684.0608073264102</v>
      </c>
      <c r="F70" s="75">
        <f t="shared" si="8"/>
        <v>60082.717029462074</v>
      </c>
      <c r="G70" s="75">
        <f t="shared" si="8"/>
        <v>28602.044411775747</v>
      </c>
      <c r="H70" s="103"/>
    </row>
    <row r="71" spans="1:10">
      <c r="A71" s="123" t="s">
        <v>106</v>
      </c>
      <c r="B71" s="113">
        <f>+DATOS!B35</f>
        <v>8956</v>
      </c>
      <c r="C71" s="128">
        <f>+DATOS!J35</f>
        <v>29620</v>
      </c>
      <c r="D71" s="128">
        <f>+DATOS!B36</f>
        <v>3048</v>
      </c>
      <c r="E71" s="128">
        <f>+DATOS!E36</f>
        <v>1605.5</v>
      </c>
      <c r="F71" s="128">
        <f>+DATOS!E37</f>
        <v>5149</v>
      </c>
      <c r="G71" s="128">
        <f>+DATOS!J37</f>
        <v>23270</v>
      </c>
      <c r="H71" s="103"/>
    </row>
    <row r="72" spans="1:10">
      <c r="A72" s="124" t="s">
        <v>107</v>
      </c>
      <c r="B72" s="47" t="s">
        <v>108</v>
      </c>
      <c r="C72" s="42" t="s">
        <v>109</v>
      </c>
      <c r="D72" s="42" t="s">
        <v>108</v>
      </c>
      <c r="E72" s="42" t="s">
        <v>108</v>
      </c>
      <c r="F72" s="42" t="s">
        <v>108</v>
      </c>
      <c r="G72" s="42" t="s">
        <v>109</v>
      </c>
      <c r="H72" s="103"/>
    </row>
    <row r="73" spans="1:10">
      <c r="A73" s="125" t="s">
        <v>73</v>
      </c>
      <c r="B73" s="114">
        <f>+B70/B71</f>
        <v>6.9163780429088266</v>
      </c>
      <c r="C73" s="129">
        <f t="shared" ref="C73:G73" si="9">+C70/C71</f>
        <v>0.790527610663876</v>
      </c>
      <c r="D73" s="129">
        <f t="shared" si="9"/>
        <v>4.9626537706236205</v>
      </c>
      <c r="E73" s="129">
        <f t="shared" si="9"/>
        <v>5.408944756976898</v>
      </c>
      <c r="F73" s="130">
        <f t="shared" si="9"/>
        <v>11.668812784902325</v>
      </c>
      <c r="G73" s="130">
        <f t="shared" si="9"/>
        <v>1.2291381354437365</v>
      </c>
      <c r="H73" s="103"/>
    </row>
    <row r="74" spans="1:10">
      <c r="A74" s="123" t="s">
        <v>106</v>
      </c>
      <c r="B74" s="115">
        <f>+B71/DATOS!C35</f>
        <v>22390</v>
      </c>
      <c r="C74" s="131"/>
      <c r="D74" s="132">
        <f>+D71/DATOS!C35</f>
        <v>7620</v>
      </c>
      <c r="E74" s="132">
        <f>+E71/DATOS!F35</f>
        <v>6422</v>
      </c>
      <c r="F74" s="132">
        <f>+F71/DATOS!F35</f>
        <v>20596</v>
      </c>
      <c r="G74" s="42"/>
      <c r="H74" s="103"/>
    </row>
    <row r="75" spans="1:10">
      <c r="A75" s="124" t="s">
        <v>107</v>
      </c>
      <c r="B75" s="116" t="s">
        <v>110</v>
      </c>
      <c r="C75" s="133"/>
      <c r="D75" s="134" t="s">
        <v>110</v>
      </c>
      <c r="E75" s="134" t="s">
        <v>110</v>
      </c>
      <c r="F75" s="134" t="s">
        <v>110</v>
      </c>
      <c r="G75" s="133"/>
      <c r="H75" s="117"/>
    </row>
    <row r="76" spans="1:10" ht="15.75" thickBot="1">
      <c r="A76" s="126" t="s">
        <v>73</v>
      </c>
      <c r="B76" s="118">
        <f>+B70/B74</f>
        <v>2.7665512171635305</v>
      </c>
      <c r="C76" s="135"/>
      <c r="D76" s="136">
        <f>+D70/D74</f>
        <v>1.9850615082494483</v>
      </c>
      <c r="E76" s="136">
        <f>+E70/E74</f>
        <v>1.3522361892442245</v>
      </c>
      <c r="F76" s="136">
        <f>+F70/F74</f>
        <v>2.9172031962255813</v>
      </c>
      <c r="G76" s="137"/>
      <c r="H76" s="106"/>
    </row>
    <row r="77" spans="1:10" ht="15.75" thickTop="1"/>
    <row r="79" spans="1:10" ht="18">
      <c r="C79" s="239" t="s">
        <v>155</v>
      </c>
      <c r="D79" s="239"/>
      <c r="E79" s="140"/>
      <c r="F79" s="239" t="s">
        <v>160</v>
      </c>
      <c r="G79" s="239"/>
      <c r="H79" s="140"/>
      <c r="I79" s="239" t="s">
        <v>156</v>
      </c>
      <c r="J79" s="239"/>
    </row>
    <row r="80" spans="1:10">
      <c r="A80" s="16" t="s">
        <v>93</v>
      </c>
      <c r="B80" s="62" t="s">
        <v>158</v>
      </c>
      <c r="C80" s="61">
        <f>+B70</f>
        <v>61943.081752291451</v>
      </c>
      <c r="E80" s="62" t="s">
        <v>170</v>
      </c>
      <c r="F80" s="61">
        <f>+C70</f>
        <v>23415.427827864009</v>
      </c>
      <c r="H80" s="62" t="s">
        <v>164</v>
      </c>
      <c r="I80" s="61">
        <f>+D70</f>
        <v>15126.168692860796</v>
      </c>
    </row>
    <row r="81" spans="1:10">
      <c r="A81" s="16" t="s">
        <v>157</v>
      </c>
      <c r="B81" s="62" t="s">
        <v>159</v>
      </c>
      <c r="C81" s="10"/>
      <c r="D81" s="64">
        <f>+B76*DATOS!B49</f>
        <v>56409.979317964389</v>
      </c>
      <c r="E81" s="62" t="s">
        <v>169</v>
      </c>
      <c r="F81" s="10"/>
      <c r="G81" s="64">
        <f>+C73*DATOS!C49</f>
        <v>23083.406231385179</v>
      </c>
      <c r="H81" s="62" t="s">
        <v>171</v>
      </c>
      <c r="I81" s="10"/>
      <c r="J81" s="64">
        <f>+D76*DATOS!D49</f>
        <v>14709.305776128411</v>
      </c>
    </row>
    <row r="82" spans="1:10">
      <c r="A82" s="16"/>
      <c r="B82" s="63"/>
      <c r="C82" s="8"/>
      <c r="D82" s="8"/>
      <c r="E82" s="164"/>
      <c r="F82" s="8"/>
      <c r="G82" s="95"/>
      <c r="H82" s="164"/>
      <c r="I82" s="8"/>
      <c r="J82" s="64"/>
    </row>
    <row r="83" spans="1:10">
      <c r="A83" s="16"/>
      <c r="B83" s="62"/>
      <c r="C83" s="8"/>
      <c r="D83" s="95"/>
      <c r="E83" s="163"/>
      <c r="F83" s="8"/>
      <c r="G83" s="8"/>
      <c r="H83" s="164"/>
      <c r="I83" s="8"/>
      <c r="J83" s="64"/>
    </row>
    <row r="84" spans="1:10">
      <c r="C84" s="8"/>
      <c r="D84" s="8"/>
      <c r="E84" s="163"/>
      <c r="F84" s="8"/>
      <c r="G84" s="8"/>
      <c r="H84" s="163"/>
      <c r="I84" s="8"/>
    </row>
    <row r="85" spans="1:10" ht="18">
      <c r="C85" s="239" t="s">
        <v>161</v>
      </c>
      <c r="D85" s="239"/>
      <c r="E85" s="140"/>
      <c r="F85" s="239" t="s">
        <v>162</v>
      </c>
      <c r="G85" s="239"/>
      <c r="H85" s="140"/>
      <c r="I85" s="239" t="s">
        <v>163</v>
      </c>
      <c r="J85" s="239"/>
    </row>
    <row r="86" spans="1:10">
      <c r="A86" s="16" t="s">
        <v>93</v>
      </c>
      <c r="B86" s="62" t="s">
        <v>165</v>
      </c>
      <c r="C86" s="61">
        <f>+E70</f>
        <v>8684.0608073264102</v>
      </c>
      <c r="E86" s="62" t="s">
        <v>166</v>
      </c>
      <c r="F86" s="61">
        <f>+F70</f>
        <v>60082.717029462074</v>
      </c>
      <c r="H86" s="62" t="s">
        <v>167</v>
      </c>
      <c r="I86" s="61">
        <f>+G70</f>
        <v>28602.044411775747</v>
      </c>
    </row>
    <row r="87" spans="1:10">
      <c r="A87" s="16" t="s">
        <v>157</v>
      </c>
      <c r="B87" s="62" t="s">
        <v>168</v>
      </c>
      <c r="C87" s="10"/>
      <c r="D87" s="64">
        <f>+E76*DATOS!E49</f>
        <v>8681.3563349479209</v>
      </c>
      <c r="E87" s="62" t="s">
        <v>172</v>
      </c>
      <c r="F87" s="10"/>
      <c r="G87" s="64">
        <f>+F76*DATOS!F49</f>
        <v>58694.128308058695</v>
      </c>
      <c r="H87" s="62" t="s">
        <v>173</v>
      </c>
      <c r="I87" s="10"/>
      <c r="J87" s="64">
        <f>+G73*DATOS!G49</f>
        <v>28282.468496560377</v>
      </c>
    </row>
    <row r="88" spans="1:10">
      <c r="A88" s="16"/>
      <c r="B88" s="63"/>
      <c r="C88" s="8"/>
      <c r="D88" s="8"/>
      <c r="E88" s="164"/>
      <c r="F88" s="8"/>
      <c r="G88" s="95"/>
      <c r="H88" s="164"/>
      <c r="I88" s="8"/>
      <c r="J88" s="64"/>
    </row>
    <row r="89" spans="1:10">
      <c r="C89" s="8"/>
      <c r="E89" s="63"/>
      <c r="F89" s="8"/>
      <c r="H89" s="63"/>
      <c r="I89" s="8"/>
    </row>
    <row r="90" spans="1:10">
      <c r="C90" s="8"/>
      <c r="E90" s="63"/>
      <c r="F90" s="8"/>
      <c r="H90" s="63"/>
      <c r="I90" s="8"/>
    </row>
    <row r="91" spans="1:10" ht="15.75" thickBot="1">
      <c r="A91" t="s">
        <v>138</v>
      </c>
    </row>
    <row r="92" spans="1:10" ht="18.75" thickTop="1">
      <c r="A92" s="120"/>
      <c r="B92" s="162" t="s">
        <v>149</v>
      </c>
      <c r="C92" s="139" t="s">
        <v>151</v>
      </c>
      <c r="D92" s="139" t="s">
        <v>152</v>
      </c>
      <c r="E92" s="139" t="s">
        <v>153</v>
      </c>
      <c r="F92" s="139" t="s">
        <v>150</v>
      </c>
      <c r="G92" s="139" t="s">
        <v>154</v>
      </c>
      <c r="H92" s="127" t="s">
        <v>2</v>
      </c>
      <c r="I92" s="153"/>
    </row>
    <row r="93" spans="1:10">
      <c r="A93" s="121" t="s">
        <v>113</v>
      </c>
      <c r="B93" s="148">
        <f>+DATOS!B48</f>
        <v>86583</v>
      </c>
      <c r="C93" s="149">
        <f>+DATOS!D48</f>
        <v>15886</v>
      </c>
      <c r="D93" s="149">
        <f>+DATOS!E48</f>
        <v>16268</v>
      </c>
      <c r="E93" s="149">
        <f>+DATOS!F48</f>
        <v>86315</v>
      </c>
      <c r="F93" s="149">
        <f>+DATOS!C48</f>
        <v>27942</v>
      </c>
      <c r="G93" s="149">
        <f>+DATOS!G48</f>
        <v>45489</v>
      </c>
      <c r="H93" s="149">
        <f>SUM(B93:G93)</f>
        <v>278483</v>
      </c>
      <c r="I93" s="143">
        <f>+H93/$H$93</f>
        <v>1</v>
      </c>
    </row>
    <row r="94" spans="1:10" ht="18">
      <c r="A94" s="122" t="s">
        <v>117</v>
      </c>
      <c r="B94" s="150">
        <f>+D81</f>
        <v>56409.979317964389</v>
      </c>
      <c r="C94" s="151">
        <f>+J81</f>
        <v>14709.305776128411</v>
      </c>
      <c r="D94" s="151">
        <f>+D87</f>
        <v>8681.3563349479209</v>
      </c>
      <c r="E94" s="151">
        <f>+G87</f>
        <v>58694.128308058695</v>
      </c>
      <c r="F94" s="151">
        <f>+G81</f>
        <v>23083.406231385179</v>
      </c>
      <c r="G94" s="151">
        <f>+J87</f>
        <v>28282.468496560377</v>
      </c>
      <c r="H94" s="151">
        <f>SUM(B94:G94)</f>
        <v>189860.64446504498</v>
      </c>
      <c r="I94" s="143"/>
    </row>
    <row r="95" spans="1:10">
      <c r="A95" s="121" t="s">
        <v>118</v>
      </c>
      <c r="B95" s="148">
        <f>+B93-B94</f>
        <v>30173.020682035611</v>
      </c>
      <c r="C95" s="149">
        <f>+C93-C94</f>
        <v>1176.6942238715892</v>
      </c>
      <c r="D95" s="149">
        <f t="shared" ref="D95:H95" si="10">+D93-D94</f>
        <v>7586.6436650520791</v>
      </c>
      <c r="E95" s="149">
        <f t="shared" si="10"/>
        <v>27620.871691941305</v>
      </c>
      <c r="F95" s="149">
        <f>+F93-F94</f>
        <v>4858.5937686148209</v>
      </c>
      <c r="G95" s="149">
        <f t="shared" si="10"/>
        <v>17206.531503439623</v>
      </c>
      <c r="H95" s="149">
        <f t="shared" si="10"/>
        <v>88622.355534955015</v>
      </c>
      <c r="I95" s="143"/>
    </row>
    <row r="96" spans="1:10" ht="18">
      <c r="A96" s="122" t="s">
        <v>119</v>
      </c>
      <c r="B96" s="150">
        <f>+B93*$J$21</f>
        <v>2686.2577607968888</v>
      </c>
      <c r="C96" s="151">
        <f>+C93*$J$21</f>
        <v>492.86685363199905</v>
      </c>
      <c r="D96" s="151">
        <f t="shared" ref="D96:G96" si="11">+D93*$J$21</f>
        <v>504.7184926907567</v>
      </c>
      <c r="E96" s="151">
        <f t="shared" si="11"/>
        <v>2677.9429983158757</v>
      </c>
      <c r="F96" s="151">
        <f>+F93*$J$21</f>
        <v>866.90706434504079</v>
      </c>
      <c r="G96" s="151">
        <f t="shared" si="11"/>
        <v>1411.3068302194388</v>
      </c>
      <c r="H96" s="151">
        <f>SUM(B96:G96)</f>
        <v>8640</v>
      </c>
      <c r="I96" s="143"/>
    </row>
    <row r="97" spans="1:9">
      <c r="A97" s="123" t="s">
        <v>120</v>
      </c>
      <c r="B97" s="148">
        <f>+B95-B96</f>
        <v>27486.762921238722</v>
      </c>
      <c r="C97" s="149">
        <f>+C95-C96</f>
        <v>683.82737023959021</v>
      </c>
      <c r="D97" s="149">
        <f t="shared" ref="D97:G97" si="12">+D95-D96</f>
        <v>7081.9251723613224</v>
      </c>
      <c r="E97" s="149">
        <f t="shared" si="12"/>
        <v>24942.928693625428</v>
      </c>
      <c r="F97" s="149">
        <f>+F95-F96</f>
        <v>3991.68670426978</v>
      </c>
      <c r="G97" s="149">
        <f t="shared" si="12"/>
        <v>15795.224673220184</v>
      </c>
      <c r="H97" s="149">
        <f>+H95-H96</f>
        <v>79982.355534955015</v>
      </c>
      <c r="I97" s="143">
        <f>+H97/$H$93</f>
        <v>0.28720731798693283</v>
      </c>
    </row>
    <row r="98" spans="1:9" ht="18">
      <c r="A98" s="146" t="s">
        <v>121</v>
      </c>
      <c r="B98" s="150">
        <f>+C18</f>
        <v>4751</v>
      </c>
      <c r="C98" s="152"/>
      <c r="D98" s="152"/>
      <c r="E98" s="152"/>
      <c r="F98" s="152"/>
      <c r="G98" s="152"/>
      <c r="H98" s="151">
        <f>SUM(B98:G98)</f>
        <v>4751</v>
      </c>
      <c r="I98" s="143"/>
    </row>
    <row r="99" spans="1:9">
      <c r="A99" s="123" t="s">
        <v>122</v>
      </c>
      <c r="B99" s="148">
        <f>+B97-B98</f>
        <v>22735.762921238722</v>
      </c>
      <c r="C99" s="149">
        <f t="shared" ref="C99:G99" si="13">+C97-C98</f>
        <v>683.82737023959021</v>
      </c>
      <c r="D99" s="149">
        <f t="shared" si="13"/>
        <v>7081.9251723613224</v>
      </c>
      <c r="E99" s="149">
        <f t="shared" si="13"/>
        <v>24942.928693625428</v>
      </c>
      <c r="F99" s="149">
        <f t="shared" si="13"/>
        <v>3991.68670426978</v>
      </c>
      <c r="G99" s="149">
        <f t="shared" si="13"/>
        <v>15795.224673220184</v>
      </c>
      <c r="H99" s="149">
        <f>+H97-H98</f>
        <v>75231.355534955015</v>
      </c>
      <c r="I99" s="143"/>
    </row>
    <row r="100" spans="1:9">
      <c r="A100" s="123"/>
      <c r="B100" s="240" t="s">
        <v>123</v>
      </c>
      <c r="C100" s="241"/>
      <c r="D100" s="242" t="s">
        <v>124</v>
      </c>
      <c r="E100" s="241"/>
      <c r="F100" s="242" t="s">
        <v>125</v>
      </c>
      <c r="G100" s="241"/>
      <c r="H100" s="149"/>
      <c r="I100" s="143"/>
    </row>
    <row r="101" spans="1:9">
      <c r="A101" s="123" t="s">
        <v>122</v>
      </c>
      <c r="B101" s="154"/>
      <c r="C101" s="156">
        <f>+B99+C99</f>
        <v>23419.590291478311</v>
      </c>
      <c r="D101" s="158"/>
      <c r="E101" s="156">
        <f>+D99+E99</f>
        <v>32024.853865986752</v>
      </c>
      <c r="F101" s="158"/>
      <c r="G101" s="156">
        <f>+F99+G99</f>
        <v>19786.911377489963</v>
      </c>
      <c r="H101" s="149">
        <f>SUM(C101:G101)</f>
        <v>75231.35553495503</v>
      </c>
      <c r="I101" s="143"/>
    </row>
    <row r="102" spans="1:9" ht="18">
      <c r="A102" s="146" t="s">
        <v>127</v>
      </c>
      <c r="B102" s="155"/>
      <c r="C102" s="157">
        <f>+G18</f>
        <v>3397</v>
      </c>
      <c r="D102" s="159"/>
      <c r="E102" s="157">
        <f>+H18</f>
        <v>3403</v>
      </c>
      <c r="F102" s="159"/>
      <c r="G102" s="157">
        <f>+I18</f>
        <v>5371</v>
      </c>
      <c r="H102" s="151">
        <f>SUM(C102:G102)</f>
        <v>12171</v>
      </c>
      <c r="I102" s="143"/>
    </row>
    <row r="103" spans="1:9">
      <c r="A103" s="123" t="s">
        <v>126</v>
      </c>
      <c r="B103" s="8"/>
      <c r="C103" s="95">
        <f>+C101-C102</f>
        <v>20022.590291478311</v>
      </c>
      <c r="D103" s="8"/>
      <c r="E103" s="95">
        <f>+E101-E102</f>
        <v>28621.853865986752</v>
      </c>
      <c r="F103" s="8"/>
      <c r="G103" s="95">
        <f>+G101-G102</f>
        <v>14415.911377489963</v>
      </c>
      <c r="H103" s="160">
        <f>+H101-H102</f>
        <v>63060.35553495503</v>
      </c>
      <c r="I103" s="143">
        <f>+H103/$H$93</f>
        <v>0.22644238799120603</v>
      </c>
    </row>
    <row r="104" spans="1:9" ht="18">
      <c r="A104" s="146" t="s">
        <v>128</v>
      </c>
      <c r="B104" s="9"/>
      <c r="C104" s="9"/>
      <c r="D104" s="9"/>
      <c r="E104" s="9"/>
      <c r="F104" s="9"/>
      <c r="G104" s="9"/>
      <c r="H104" s="157">
        <f>+K18-H102-H98</f>
        <v>39204</v>
      </c>
      <c r="I104" s="143"/>
    </row>
    <row r="105" spans="1:9" ht="18.75" thickBot="1">
      <c r="A105" s="147" t="s">
        <v>129</v>
      </c>
      <c r="B105" s="119"/>
      <c r="C105" s="119"/>
      <c r="D105" s="119"/>
      <c r="E105" s="119"/>
      <c r="F105" s="119"/>
      <c r="G105" s="119"/>
      <c r="H105" s="161">
        <f>+H103-H104</f>
        <v>23856.35553495503</v>
      </c>
      <c r="I105" s="145">
        <f>+H105/$H$93</f>
        <v>8.5665392627036582E-2</v>
      </c>
    </row>
    <row r="106" spans="1:9" ht="15.75" thickTop="1"/>
    <row r="108" spans="1:9" ht="15.75" thickBot="1">
      <c r="A108" t="s">
        <v>139</v>
      </c>
    </row>
    <row r="109" spans="1:9" ht="18.75" thickTop="1">
      <c r="A109" s="120"/>
      <c r="B109" s="138" t="s">
        <v>149</v>
      </c>
      <c r="C109" s="139" t="s">
        <v>151</v>
      </c>
      <c r="D109" s="139" t="s">
        <v>152</v>
      </c>
      <c r="E109" s="139" t="s">
        <v>153</v>
      </c>
      <c r="F109" s="139" t="s">
        <v>150</v>
      </c>
      <c r="G109" s="214" t="s">
        <v>154</v>
      </c>
      <c r="H109" s="78"/>
    </row>
    <row r="110" spans="1:9">
      <c r="A110" s="121" t="s">
        <v>113</v>
      </c>
      <c r="B110" s="95">
        <f>+DATOS!B50</f>
        <v>4.2463462481608634</v>
      </c>
      <c r="C110" s="149">
        <f>+DATOS!D50</f>
        <v>2.143859649122807</v>
      </c>
      <c r="D110" s="149">
        <f>+DATOS!E50</f>
        <v>2.5339563862928349</v>
      </c>
      <c r="E110" s="149">
        <f>+DATOS!F50</f>
        <v>4.2900099403578533</v>
      </c>
      <c r="F110" s="149">
        <f>+DATOS!C50</f>
        <v>0.95691780821917805</v>
      </c>
      <c r="G110" s="208">
        <f>+DATOS!G50</f>
        <v>1.976923076923077</v>
      </c>
    </row>
    <row r="111" spans="1:9" ht="18">
      <c r="A111" s="122" t="s">
        <v>117</v>
      </c>
      <c r="B111" s="65">
        <f>+B76</f>
        <v>2.7665512171635305</v>
      </c>
      <c r="C111" s="151">
        <f>+D76</f>
        <v>1.9850615082494483</v>
      </c>
      <c r="D111" s="151">
        <f>+E76</f>
        <v>1.3522361892442245</v>
      </c>
      <c r="E111" s="151">
        <f>+F76</f>
        <v>2.9172031962255813</v>
      </c>
      <c r="F111" s="151">
        <f>+C73</f>
        <v>0.790527610663876</v>
      </c>
      <c r="G111" s="209">
        <f>+G73</f>
        <v>1.2291381354437365</v>
      </c>
    </row>
    <row r="112" spans="1:9">
      <c r="A112" s="121" t="s">
        <v>118</v>
      </c>
      <c r="B112" s="96">
        <f>+B110-B111</f>
        <v>1.4797950309973329</v>
      </c>
      <c r="C112" s="212">
        <f>+C110-C111</f>
        <v>0.15879814087335875</v>
      </c>
      <c r="D112" s="212">
        <f t="shared" ref="D112:G112" si="14">+D110-D111</f>
        <v>1.1817201970486104</v>
      </c>
      <c r="E112" s="212">
        <f t="shared" si="14"/>
        <v>1.372806744132272</v>
      </c>
      <c r="F112" s="212">
        <f>+F110-F111</f>
        <v>0.16639019755530204</v>
      </c>
      <c r="G112" s="210">
        <f t="shared" si="14"/>
        <v>0.74778494147934049</v>
      </c>
    </row>
    <row r="113" spans="1:7" ht="18">
      <c r="A113" s="122" t="s">
        <v>119</v>
      </c>
      <c r="B113" s="65">
        <f>+B110*$J$21</f>
        <v>0.1317438823343251</v>
      </c>
      <c r="C113" s="151">
        <f t="shared" ref="C113:G113" si="15">+C110*$J$21</f>
        <v>6.6513745429419582E-2</v>
      </c>
      <c r="D113" s="151">
        <f t="shared" si="15"/>
        <v>7.8616587646535313E-2</v>
      </c>
      <c r="E113" s="151">
        <f t="shared" si="15"/>
        <v>0.13309855856440736</v>
      </c>
      <c r="F113" s="151">
        <f t="shared" si="15"/>
        <v>2.9688598094008246E-2</v>
      </c>
      <c r="G113" s="209">
        <f t="shared" si="15"/>
        <v>6.1334499357646191E-2</v>
      </c>
    </row>
    <row r="114" spans="1:7" ht="15.75" thickBot="1">
      <c r="A114" s="147" t="s">
        <v>120</v>
      </c>
      <c r="B114" s="144">
        <f>+B112-B113</f>
        <v>1.3480511486630078</v>
      </c>
      <c r="C114" s="213">
        <f>+C112-C113</f>
        <v>9.2284395443939168E-2</v>
      </c>
      <c r="D114" s="213">
        <f t="shared" ref="D114:G114" si="16">+D112-D113</f>
        <v>1.1031036094020752</v>
      </c>
      <c r="E114" s="213">
        <f t="shared" si="16"/>
        <v>1.2397081855678647</v>
      </c>
      <c r="F114" s="213">
        <f>+F112-F113</f>
        <v>0.13670159946129379</v>
      </c>
      <c r="G114" s="211">
        <f t="shared" si="16"/>
        <v>0.68645044212169426</v>
      </c>
    </row>
    <row r="115" spans="1:7" ht="15.75" thickTop="1"/>
    <row r="117" spans="1:7" ht="15.75" thickBot="1">
      <c r="A117" t="s">
        <v>140</v>
      </c>
    </row>
    <row r="118" spans="1:7" ht="18.75" thickTop="1">
      <c r="A118" s="120"/>
      <c r="B118" s="138" t="s">
        <v>87</v>
      </c>
      <c r="C118" s="139" t="s">
        <v>91</v>
      </c>
      <c r="D118" s="139" t="s">
        <v>90</v>
      </c>
      <c r="E118" s="139" t="s">
        <v>89</v>
      </c>
      <c r="F118" s="139" t="s">
        <v>88</v>
      </c>
      <c r="G118" s="214" t="s">
        <v>92</v>
      </c>
    </row>
    <row r="119" spans="1:7">
      <c r="A119" s="121" t="s">
        <v>113</v>
      </c>
      <c r="B119" s="95">
        <f t="shared" ref="B119:G120" si="17">+B110/B$110</f>
        <v>1</v>
      </c>
      <c r="C119" s="149">
        <f t="shared" si="17"/>
        <v>1</v>
      </c>
      <c r="D119" s="149">
        <f t="shared" si="17"/>
        <v>1</v>
      </c>
      <c r="E119" s="149">
        <f t="shared" si="17"/>
        <v>1</v>
      </c>
      <c r="F119" s="149">
        <f t="shared" si="17"/>
        <v>1</v>
      </c>
      <c r="G119" s="208">
        <f t="shared" si="17"/>
        <v>1</v>
      </c>
    </row>
    <row r="120" spans="1:7" ht="18">
      <c r="A120" s="122" t="s">
        <v>117</v>
      </c>
      <c r="B120" s="65">
        <f t="shared" si="17"/>
        <v>0.65151333769867503</v>
      </c>
      <c r="C120" s="151">
        <f t="shared" si="17"/>
        <v>0.9259288540934415</v>
      </c>
      <c r="D120" s="151">
        <f t="shared" si="17"/>
        <v>0.53364619713227934</v>
      </c>
      <c r="E120" s="151">
        <f t="shared" si="17"/>
        <v>0.67999916941503435</v>
      </c>
      <c r="F120" s="151">
        <f t="shared" si="17"/>
        <v>0.82611861110103713</v>
      </c>
      <c r="G120" s="209">
        <f t="shared" si="17"/>
        <v>0.6217430257108395</v>
      </c>
    </row>
    <row r="121" spans="1:7">
      <c r="A121" s="121" t="s">
        <v>118</v>
      </c>
      <c r="B121" s="96">
        <f>+B119-B120</f>
        <v>0.34848666230132497</v>
      </c>
      <c r="C121" s="212">
        <f>+C119-C120</f>
        <v>7.40711459065585E-2</v>
      </c>
      <c r="D121" s="212">
        <f t="shared" ref="D121:G121" si="18">+D119-D120</f>
        <v>0.46635380286772066</v>
      </c>
      <c r="E121" s="212">
        <f t="shared" si="18"/>
        <v>0.32000083058496565</v>
      </c>
      <c r="F121" s="212">
        <f>+F119-F120</f>
        <v>0.17388138889896287</v>
      </c>
      <c r="G121" s="210">
        <f t="shared" si="18"/>
        <v>0.3782569742891605</v>
      </c>
    </row>
    <row r="122" spans="1:7" ht="18">
      <c r="A122" s="122" t="s">
        <v>119</v>
      </c>
      <c r="B122" s="65">
        <f t="shared" ref="B122:G122" si="19">+B113/B$110</f>
        <v>3.1025233138108968E-2</v>
      </c>
      <c r="C122" s="151">
        <f t="shared" si="19"/>
        <v>3.1025233138108971E-2</v>
      </c>
      <c r="D122" s="151">
        <f t="shared" si="19"/>
        <v>3.1025233138108968E-2</v>
      </c>
      <c r="E122" s="151">
        <f t="shared" si="19"/>
        <v>3.1025233138108971E-2</v>
      </c>
      <c r="F122" s="151">
        <f t="shared" si="19"/>
        <v>3.1025233138108968E-2</v>
      </c>
      <c r="G122" s="209">
        <f t="shared" si="19"/>
        <v>3.1025233138108968E-2</v>
      </c>
    </row>
    <row r="123" spans="1:7" ht="15.75" thickBot="1">
      <c r="A123" s="147" t="s">
        <v>120</v>
      </c>
      <c r="B123" s="144">
        <f>+B121-B122</f>
        <v>0.31746142916321601</v>
      </c>
      <c r="C123" s="213">
        <f>+C121-C122</f>
        <v>4.3045912768449532E-2</v>
      </c>
      <c r="D123" s="213">
        <f t="shared" ref="D123:G123" si="20">+D121-D122</f>
        <v>0.4353285697296117</v>
      </c>
      <c r="E123" s="213">
        <f t="shared" si="20"/>
        <v>0.28897559744685669</v>
      </c>
      <c r="F123" s="213">
        <f>+F121-F122</f>
        <v>0.14285615576085392</v>
      </c>
      <c r="G123" s="211">
        <f t="shared" si="20"/>
        <v>0.34723174115105154</v>
      </c>
    </row>
    <row r="124" spans="1:7" ht="15.75" thickTop="1"/>
    <row r="125" spans="1:7" ht="15.75" thickBot="1">
      <c r="A125" t="s">
        <v>176</v>
      </c>
    </row>
    <row r="126" spans="1:7">
      <c r="A126" s="224"/>
      <c r="B126" s="223" t="s">
        <v>178</v>
      </c>
      <c r="C126" s="223" t="s">
        <v>73</v>
      </c>
      <c r="D126" s="207" t="s">
        <v>2</v>
      </c>
    </row>
    <row r="127" spans="1:7" ht="18">
      <c r="A127" s="183" t="s">
        <v>177</v>
      </c>
      <c r="B127" s="215">
        <f>+DATOS!B22+DATOS!B23-DATOS!B24</f>
        <v>11660</v>
      </c>
      <c r="C127" s="217">
        <f>+C27</f>
        <v>1.7488115449915111</v>
      </c>
      <c r="D127" s="218">
        <f>+B127*C127</f>
        <v>20391.14261460102</v>
      </c>
    </row>
    <row r="128" spans="1:7" ht="18">
      <c r="A128" s="183" t="s">
        <v>179</v>
      </c>
      <c r="B128" s="215">
        <f>+DATOS!D22+DATOS!D23-DATOS!D24</f>
        <v>5820</v>
      </c>
      <c r="C128" s="217">
        <f>+F27</f>
        <v>1.3936251189343483</v>
      </c>
      <c r="D128" s="218">
        <f t="shared" ref="D128:D132" si="21">+B128*C128</f>
        <v>8110.8981921979066</v>
      </c>
    </row>
    <row r="129" spans="1:4" ht="18">
      <c r="A129" s="183" t="s">
        <v>180</v>
      </c>
      <c r="B129" s="215">
        <f>+DATOS!F22+DATOS!F23-DATOS!F24</f>
        <v>3700</v>
      </c>
      <c r="C129" s="217">
        <f>+I27</f>
        <v>5.4785929648241209</v>
      </c>
      <c r="D129" s="218">
        <f t="shared" si="21"/>
        <v>20270.793969849248</v>
      </c>
    </row>
    <row r="130" spans="1:4">
      <c r="A130" s="225" t="s">
        <v>66</v>
      </c>
      <c r="B130" s="216">
        <f>+DATOS!E28-DATOS!A35-DATOS!G35</f>
        <v>3942</v>
      </c>
      <c r="C130" s="217">
        <f>+D48</f>
        <v>6.4439837974732948</v>
      </c>
      <c r="D130" s="218">
        <f t="shared" si="21"/>
        <v>25402.184129639729</v>
      </c>
    </row>
    <row r="131" spans="1:4">
      <c r="A131" s="225" t="s">
        <v>67</v>
      </c>
      <c r="B131" s="216">
        <f>+DATOS!E29-DATOS!A36-DATOS!D36</f>
        <v>570</v>
      </c>
      <c r="C131" s="217">
        <f>+G48</f>
        <v>4.5304947061885317</v>
      </c>
      <c r="D131" s="218">
        <f t="shared" si="21"/>
        <v>2582.3819825274632</v>
      </c>
    </row>
    <row r="132" spans="1:4">
      <c r="A132" s="225" t="s">
        <v>68</v>
      </c>
      <c r="B132" s="216">
        <f>+DATOS!E30-DATOS!D37-DATOS!G37</f>
        <v>51</v>
      </c>
      <c r="C132" s="217">
        <f>+J48</f>
        <v>10.477369332717688</v>
      </c>
      <c r="D132" s="218">
        <f t="shared" si="21"/>
        <v>534.34583596860205</v>
      </c>
    </row>
    <row r="133" spans="1:4">
      <c r="A133" s="225" t="s">
        <v>187</v>
      </c>
      <c r="B133" s="216">
        <f>+DATOS!F28</f>
        <v>400</v>
      </c>
      <c r="C133" s="217"/>
      <c r="D133" s="218">
        <f>+D51</f>
        <v>2530.553518989318</v>
      </c>
    </row>
    <row r="134" spans="1:4">
      <c r="A134" s="225" t="s">
        <v>188</v>
      </c>
      <c r="B134" s="216">
        <f>+DATOS!F29</f>
        <v>900</v>
      </c>
      <c r="C134" s="217"/>
      <c r="D134" s="218">
        <f>+G51</f>
        <v>4027.045235569678</v>
      </c>
    </row>
    <row r="135" spans="1:4">
      <c r="A135" s="225" t="s">
        <v>189</v>
      </c>
      <c r="B135" s="216">
        <f>+DATOS!F30</f>
        <v>1500</v>
      </c>
      <c r="C135" s="217"/>
      <c r="D135" s="218">
        <f>+J51</f>
        <v>15506.053999076532</v>
      </c>
    </row>
    <row r="136" spans="1:4" ht="18">
      <c r="A136" s="225" t="s">
        <v>181</v>
      </c>
      <c r="B136" s="216">
        <f>+B74-DATOS!B49</f>
        <v>2000</v>
      </c>
      <c r="C136" s="219">
        <f>+B76</f>
        <v>2.7665512171635305</v>
      </c>
      <c r="D136" s="218">
        <f t="shared" ref="D136:D141" si="22">+B136*C136</f>
        <v>5533.102434327061</v>
      </c>
    </row>
    <row r="137" spans="1:4" ht="18">
      <c r="A137" s="225" t="s">
        <v>182</v>
      </c>
      <c r="B137" s="216">
        <f>C71-DATOS!C49</f>
        <v>420</v>
      </c>
      <c r="C137" s="219">
        <f>+C73</f>
        <v>0.790527610663876</v>
      </c>
      <c r="D137" s="218">
        <f t="shared" si="22"/>
        <v>332.02159647882792</v>
      </c>
    </row>
    <row r="138" spans="1:4" ht="18">
      <c r="A138" s="225" t="s">
        <v>183</v>
      </c>
      <c r="B138" s="216">
        <f>+D74-DATOS!D49</f>
        <v>210</v>
      </c>
      <c r="C138" s="219">
        <f>+D76</f>
        <v>1.9850615082494483</v>
      </c>
      <c r="D138" s="218">
        <f t="shared" si="22"/>
        <v>416.86291673238412</v>
      </c>
    </row>
    <row r="139" spans="1:4" ht="18">
      <c r="A139" s="225" t="s">
        <v>184</v>
      </c>
      <c r="B139" s="216">
        <f>+E74-DATOS!E49</f>
        <v>2</v>
      </c>
      <c r="C139" s="219">
        <f>+E76</f>
        <v>1.3522361892442245</v>
      </c>
      <c r="D139" s="218">
        <f t="shared" si="22"/>
        <v>2.704472378488449</v>
      </c>
    </row>
    <row r="140" spans="1:4" ht="18">
      <c r="A140" s="225" t="s">
        <v>185</v>
      </c>
      <c r="B140" s="216">
        <f>+F74-DATOS!F49</f>
        <v>476</v>
      </c>
      <c r="C140" s="219">
        <f>+F76</f>
        <v>2.9172031962255813</v>
      </c>
      <c r="D140" s="218">
        <f t="shared" si="22"/>
        <v>1388.5887214033767</v>
      </c>
    </row>
    <row r="141" spans="1:4" ht="18.75" thickBot="1">
      <c r="A141" s="226" t="s">
        <v>186</v>
      </c>
      <c r="B141" s="220">
        <f>+G71-DATOS!G49</f>
        <v>260</v>
      </c>
      <c r="C141" s="221">
        <f>+G73</f>
        <v>1.2291381354437365</v>
      </c>
      <c r="D141" s="222">
        <f t="shared" si="22"/>
        <v>319.57591521537148</v>
      </c>
    </row>
  </sheetData>
  <mergeCells count="18">
    <mergeCell ref="C54:D54"/>
    <mergeCell ref="F54:G54"/>
    <mergeCell ref="I54:J54"/>
    <mergeCell ref="B100:C100"/>
    <mergeCell ref="D100:E100"/>
    <mergeCell ref="F100:G100"/>
    <mergeCell ref="C79:D79"/>
    <mergeCell ref="F79:G79"/>
    <mergeCell ref="I79:J79"/>
    <mergeCell ref="C85:D85"/>
    <mergeCell ref="F85:G85"/>
    <mergeCell ref="I85:J85"/>
    <mergeCell ref="C24:D24"/>
    <mergeCell ref="F24:G24"/>
    <mergeCell ref="I24:J24"/>
    <mergeCell ref="B42:D42"/>
    <mergeCell ref="E42:G42"/>
    <mergeCell ref="H42:J4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0"/>
  <sheetViews>
    <sheetView tabSelected="1" workbookViewId="0">
      <selection activeCell="D26" sqref="D26"/>
    </sheetView>
  </sheetViews>
  <sheetFormatPr baseColWidth="10" defaultRowHeight="15"/>
  <cols>
    <col min="1" max="1" width="17.85546875" bestFit="1" customWidth="1"/>
    <col min="2" max="2" width="14" bestFit="1" customWidth="1"/>
    <col min="3" max="6" width="17.7109375" bestFit="1" customWidth="1"/>
    <col min="7" max="7" width="13.5703125" bestFit="1" customWidth="1"/>
    <col min="9" max="9" width="12" bestFit="1" customWidth="1"/>
    <col min="10" max="10" width="11.7109375" customWidth="1"/>
    <col min="11" max="11" width="13" bestFit="1" customWidth="1"/>
    <col min="12" max="12" width="9.85546875" customWidth="1"/>
    <col min="13" max="13" width="10" customWidth="1"/>
    <col min="14" max="14" width="9.42578125" customWidth="1"/>
    <col min="15" max="15" width="10.42578125" customWidth="1"/>
    <col min="16" max="16" width="10.140625" customWidth="1"/>
    <col min="17" max="17" width="11" customWidth="1"/>
    <col min="18" max="18" width="6.42578125" bestFit="1" customWidth="1"/>
  </cols>
  <sheetData>
    <row r="1" spans="1:11" ht="15.75" thickBot="1">
      <c r="A1" t="s">
        <v>36</v>
      </c>
    </row>
    <row r="2" spans="1:11" ht="16.5" thickTop="1" thickBot="1">
      <c r="A2" s="1"/>
      <c r="B2" s="29" t="s">
        <v>0</v>
      </c>
      <c r="C2" s="97" t="s">
        <v>27</v>
      </c>
      <c r="D2" s="97" t="s">
        <v>28</v>
      </c>
      <c r="E2" s="97" t="s">
        <v>29</v>
      </c>
      <c r="F2" s="97" t="s">
        <v>30</v>
      </c>
      <c r="G2" s="97" t="s">
        <v>60</v>
      </c>
      <c r="H2" s="97" t="s">
        <v>61</v>
      </c>
      <c r="I2" s="97" t="s">
        <v>62</v>
      </c>
      <c r="J2" s="30" t="s">
        <v>1</v>
      </c>
      <c r="K2" s="31" t="s">
        <v>2</v>
      </c>
    </row>
    <row r="3" spans="1:11">
      <c r="A3" s="2" t="s">
        <v>3</v>
      </c>
      <c r="B3" s="32"/>
      <c r="C3" s="33"/>
      <c r="D3" s="33"/>
      <c r="E3" s="33"/>
      <c r="F3" s="33"/>
      <c r="G3" s="33"/>
      <c r="H3" s="33"/>
      <c r="I3" s="33"/>
      <c r="J3" s="33"/>
      <c r="K3" s="34"/>
    </row>
    <row r="4" spans="1:11">
      <c r="A4" s="3" t="s">
        <v>4</v>
      </c>
      <c r="B4" s="32"/>
      <c r="C4" s="33">
        <v>1333</v>
      </c>
      <c r="D4" s="33">
        <v>1830</v>
      </c>
      <c r="E4" s="33">
        <v>2300</v>
      </c>
      <c r="F4" s="33">
        <v>1450</v>
      </c>
      <c r="G4" s="33"/>
      <c r="H4" s="33"/>
      <c r="I4" s="33"/>
      <c r="J4" s="33"/>
      <c r="K4" s="35">
        <f t="shared" ref="K4:K16" si="0">SUM(B4:J4)</f>
        <v>6913</v>
      </c>
    </row>
    <row r="5" spans="1:11">
      <c r="A5" s="3" t="s">
        <v>46</v>
      </c>
      <c r="B5" s="32"/>
      <c r="C5" s="33"/>
      <c r="D5" s="33"/>
      <c r="E5" s="33"/>
      <c r="F5" s="33"/>
      <c r="G5" s="33">
        <v>2260</v>
      </c>
      <c r="H5" s="33">
        <v>3420</v>
      </c>
      <c r="I5" s="33">
        <v>4420.1000000000004</v>
      </c>
      <c r="J5" s="33"/>
      <c r="K5" s="35">
        <f t="shared" si="0"/>
        <v>10100.1</v>
      </c>
    </row>
    <row r="6" spans="1:11">
      <c r="A6" s="3" t="s">
        <v>5</v>
      </c>
      <c r="B6" s="36">
        <v>2300</v>
      </c>
      <c r="C6" s="37">
        <v>960</v>
      </c>
      <c r="D6" s="37">
        <v>840</v>
      </c>
      <c r="E6" s="37">
        <v>580</v>
      </c>
      <c r="F6" s="37">
        <v>920</v>
      </c>
      <c r="G6" s="37">
        <v>560</v>
      </c>
      <c r="H6" s="37">
        <v>402.9</v>
      </c>
      <c r="I6" s="37">
        <v>340</v>
      </c>
      <c r="J6" s="37">
        <v>740</v>
      </c>
      <c r="K6" s="34">
        <f t="shared" si="0"/>
        <v>7642.9</v>
      </c>
    </row>
    <row r="7" spans="1:11">
      <c r="A7" s="3" t="s">
        <v>6</v>
      </c>
      <c r="B7" s="36">
        <v>850</v>
      </c>
      <c r="C7" s="37">
        <v>1250</v>
      </c>
      <c r="D7" s="37"/>
      <c r="E7" s="37"/>
      <c r="F7" s="37">
        <v>3620</v>
      </c>
      <c r="G7" s="37">
        <v>1261.4000000000001</v>
      </c>
      <c r="H7" s="37">
        <v>500</v>
      </c>
      <c r="I7" s="37"/>
      <c r="J7" s="37">
        <v>2300</v>
      </c>
      <c r="K7" s="34">
        <f t="shared" si="0"/>
        <v>9781.4</v>
      </c>
    </row>
    <row r="8" spans="1:11">
      <c r="A8" s="3" t="s">
        <v>22</v>
      </c>
      <c r="B8" s="36"/>
      <c r="C8" s="37"/>
      <c r="D8" s="37"/>
      <c r="E8" s="37"/>
      <c r="F8" s="37"/>
      <c r="G8" s="37"/>
      <c r="H8" s="37"/>
      <c r="I8" s="37"/>
      <c r="J8" s="37">
        <v>5600</v>
      </c>
      <c r="K8" s="34">
        <f t="shared" si="0"/>
        <v>5600</v>
      </c>
    </row>
    <row r="9" spans="1:11">
      <c r="A9" s="3" t="s">
        <v>141</v>
      </c>
      <c r="B9" s="36">
        <v>1575</v>
      </c>
      <c r="C9" s="37">
        <v>1983.9</v>
      </c>
      <c r="D9" s="37">
        <v>918</v>
      </c>
      <c r="E9" s="37">
        <v>2232</v>
      </c>
      <c r="F9" s="37">
        <v>2795</v>
      </c>
      <c r="G9" s="37"/>
      <c r="H9" s="37"/>
      <c r="I9" s="37"/>
      <c r="J9" s="37"/>
      <c r="K9" s="34">
        <f t="shared" si="0"/>
        <v>9503.9</v>
      </c>
    </row>
    <row r="10" spans="1:11">
      <c r="A10" s="2" t="s">
        <v>7</v>
      </c>
      <c r="B10" s="36"/>
      <c r="C10" s="37"/>
      <c r="D10" s="37"/>
      <c r="E10" s="37"/>
      <c r="F10" s="37"/>
      <c r="G10" s="37"/>
      <c r="H10" s="37"/>
      <c r="I10" s="37"/>
      <c r="J10" s="37"/>
      <c r="K10" s="34"/>
    </row>
    <row r="11" spans="1:11">
      <c r="A11" s="3" t="s">
        <v>8</v>
      </c>
      <c r="B11" s="36">
        <v>6900</v>
      </c>
      <c r="C11" s="37">
        <v>1800</v>
      </c>
      <c r="D11" s="37">
        <v>2200</v>
      </c>
      <c r="E11" s="37">
        <v>1400</v>
      </c>
      <c r="F11" s="37">
        <v>1600</v>
      </c>
      <c r="G11" s="37">
        <v>640</v>
      </c>
      <c r="H11" s="37">
        <v>710</v>
      </c>
      <c r="I11" s="37">
        <v>520</v>
      </c>
      <c r="J11" s="37">
        <v>7200</v>
      </c>
      <c r="K11" s="34">
        <f t="shared" si="0"/>
        <v>22970</v>
      </c>
    </row>
    <row r="12" spans="1:11">
      <c r="A12" s="3" t="s">
        <v>5</v>
      </c>
      <c r="B12" s="36">
        <v>220</v>
      </c>
      <c r="C12" s="37">
        <v>120</v>
      </c>
      <c r="D12" s="37">
        <v>82</v>
      </c>
      <c r="E12" s="37">
        <v>60</v>
      </c>
      <c r="F12" s="37">
        <v>101</v>
      </c>
      <c r="G12" s="37">
        <v>46</v>
      </c>
      <c r="H12" s="37">
        <v>45</v>
      </c>
      <c r="I12" s="37">
        <v>38</v>
      </c>
      <c r="J12" s="37">
        <v>75</v>
      </c>
      <c r="K12" s="34">
        <f t="shared" si="0"/>
        <v>787</v>
      </c>
    </row>
    <row r="13" spans="1:11">
      <c r="A13" s="3" t="s">
        <v>9</v>
      </c>
      <c r="B13" s="36">
        <v>390</v>
      </c>
      <c r="C13" s="37">
        <v>540</v>
      </c>
      <c r="D13" s="37">
        <v>480</v>
      </c>
      <c r="E13" s="37">
        <v>320</v>
      </c>
      <c r="F13" s="37">
        <v>350</v>
      </c>
      <c r="G13" s="37">
        <v>420</v>
      </c>
      <c r="H13" s="37">
        <v>480</v>
      </c>
      <c r="I13" s="37">
        <v>440</v>
      </c>
      <c r="J13" s="37">
        <v>780</v>
      </c>
      <c r="K13" s="34">
        <f t="shared" si="0"/>
        <v>4200</v>
      </c>
    </row>
    <row r="14" spans="1:11">
      <c r="A14" s="3" t="s">
        <v>10</v>
      </c>
      <c r="B14" s="36"/>
      <c r="C14" s="37"/>
      <c r="D14" s="37"/>
      <c r="E14" s="37"/>
      <c r="F14" s="37"/>
      <c r="G14" s="37"/>
      <c r="H14" s="37"/>
      <c r="I14" s="37"/>
      <c r="J14" s="37">
        <v>1330</v>
      </c>
      <c r="K14" s="34">
        <f t="shared" si="0"/>
        <v>1330</v>
      </c>
    </row>
    <row r="15" spans="1:11">
      <c r="A15" s="3" t="s">
        <v>11</v>
      </c>
      <c r="B15" s="36">
        <v>1400</v>
      </c>
      <c r="C15" s="37">
        <v>2200</v>
      </c>
      <c r="D15" s="37">
        <v>2030</v>
      </c>
      <c r="E15" s="37">
        <v>1900</v>
      </c>
      <c r="F15" s="37">
        <v>1600</v>
      </c>
      <c r="G15" s="37">
        <v>2200</v>
      </c>
      <c r="H15" s="37">
        <v>2060</v>
      </c>
      <c r="I15" s="37">
        <v>4200</v>
      </c>
      <c r="J15" s="37">
        <v>8150</v>
      </c>
      <c r="K15" s="34">
        <f t="shared" si="0"/>
        <v>25740</v>
      </c>
    </row>
    <row r="16" spans="1:11">
      <c r="A16" s="99" t="s">
        <v>141</v>
      </c>
      <c r="B16" s="38">
        <v>58</v>
      </c>
      <c r="C16" s="39">
        <v>91</v>
      </c>
      <c r="D16" s="39">
        <v>86</v>
      </c>
      <c r="E16" s="39">
        <v>79</v>
      </c>
      <c r="F16" s="39">
        <v>66</v>
      </c>
      <c r="G16" s="39">
        <v>91</v>
      </c>
      <c r="H16" s="39">
        <v>108</v>
      </c>
      <c r="I16" s="39">
        <v>173</v>
      </c>
      <c r="J16" s="39">
        <v>347</v>
      </c>
      <c r="K16" s="40">
        <f t="shared" si="0"/>
        <v>1099</v>
      </c>
    </row>
    <row r="17" spans="1:11" ht="15.75" thickBot="1">
      <c r="A17" s="66" t="s">
        <v>2</v>
      </c>
      <c r="B17" s="67">
        <f t="shared" ref="B17:K17" si="1">SUM(B3:B16)</f>
        <v>13693</v>
      </c>
      <c r="C17" s="68">
        <f t="shared" si="1"/>
        <v>10277.9</v>
      </c>
      <c r="D17" s="68">
        <f t="shared" si="1"/>
        <v>8466</v>
      </c>
      <c r="E17" s="68">
        <f t="shared" si="1"/>
        <v>8871</v>
      </c>
      <c r="F17" s="68">
        <f t="shared" si="1"/>
        <v>12502</v>
      </c>
      <c r="G17" s="68">
        <f t="shared" si="1"/>
        <v>7478.4</v>
      </c>
      <c r="H17" s="68">
        <f t="shared" si="1"/>
        <v>7725.9</v>
      </c>
      <c r="I17" s="68">
        <f t="shared" si="1"/>
        <v>10131.1</v>
      </c>
      <c r="J17" s="68">
        <f t="shared" si="1"/>
        <v>26522</v>
      </c>
      <c r="K17" s="69">
        <f t="shared" si="1"/>
        <v>105667.3</v>
      </c>
    </row>
    <row r="18" spans="1:11" ht="15.75" thickTop="1"/>
    <row r="19" spans="1:11" ht="15.75" thickBot="1"/>
    <row r="20" spans="1:11" ht="18">
      <c r="A20" s="171"/>
      <c r="B20" s="248" t="s">
        <v>133</v>
      </c>
      <c r="C20" s="249"/>
      <c r="D20" s="250" t="s">
        <v>134</v>
      </c>
      <c r="E20" s="249"/>
      <c r="F20" s="251" t="s">
        <v>135</v>
      </c>
      <c r="G20" s="252"/>
    </row>
    <row r="21" spans="1:11">
      <c r="A21" s="165"/>
      <c r="B21" s="165" t="s">
        <v>37</v>
      </c>
      <c r="C21" s="10" t="s">
        <v>38</v>
      </c>
      <c r="D21" s="175" t="s">
        <v>37</v>
      </c>
      <c r="E21" s="10" t="s">
        <v>38</v>
      </c>
      <c r="F21" s="116" t="s">
        <v>37</v>
      </c>
      <c r="G21" s="166" t="s">
        <v>38</v>
      </c>
    </row>
    <row r="22" spans="1:11">
      <c r="A22" s="167" t="s">
        <v>39</v>
      </c>
      <c r="B22" s="82">
        <v>25400</v>
      </c>
      <c r="C22" s="172">
        <v>1.8</v>
      </c>
      <c r="D22" s="90">
        <v>7620</v>
      </c>
      <c r="E22" s="172">
        <v>1.4</v>
      </c>
      <c r="F22" s="83">
        <v>14300</v>
      </c>
      <c r="G22" s="168">
        <v>5.2</v>
      </c>
    </row>
    <row r="23" spans="1:11">
      <c r="A23" s="167" t="s">
        <v>0</v>
      </c>
      <c r="B23" s="82">
        <v>33500</v>
      </c>
      <c r="C23" s="172">
        <v>1.62</v>
      </c>
      <c r="D23" s="90">
        <v>13400</v>
      </c>
      <c r="E23" s="172">
        <v>1.3</v>
      </c>
      <c r="F23" s="83">
        <v>5600</v>
      </c>
      <c r="G23" s="168">
        <v>6.1</v>
      </c>
    </row>
    <row r="24" spans="1:11" ht="15.75" thickBot="1">
      <c r="A24" s="79" t="s">
        <v>44</v>
      </c>
      <c r="B24" s="173">
        <v>47240</v>
      </c>
      <c r="C24" s="174"/>
      <c r="D24" s="176">
        <v>15200</v>
      </c>
      <c r="E24" s="174"/>
      <c r="F24" s="169">
        <v>16200</v>
      </c>
      <c r="G24" s="170"/>
    </row>
    <row r="25" spans="1:11" ht="15.75" thickBot="1">
      <c r="B25" s="11"/>
      <c r="C25" s="13"/>
      <c r="D25" s="11"/>
      <c r="E25" s="13"/>
      <c r="F25" s="11"/>
      <c r="G25" s="13"/>
    </row>
    <row r="26" spans="1:11">
      <c r="A26" s="231" t="s">
        <v>190</v>
      </c>
      <c r="B26" s="100" t="s">
        <v>47</v>
      </c>
      <c r="C26" s="192" t="s">
        <v>48</v>
      </c>
      <c r="D26" s="192" t="s">
        <v>49</v>
      </c>
      <c r="E26" s="250" t="s">
        <v>50</v>
      </c>
      <c r="F26" s="251"/>
      <c r="G26" s="251"/>
      <c r="H26" s="245"/>
    </row>
    <row r="27" spans="1:11">
      <c r="A27" s="232"/>
      <c r="B27" s="116" t="s">
        <v>58</v>
      </c>
      <c r="C27" s="134" t="s">
        <v>58</v>
      </c>
      <c r="D27" s="134" t="s">
        <v>58</v>
      </c>
      <c r="E27" s="116" t="s">
        <v>58</v>
      </c>
      <c r="F27" s="116" t="s">
        <v>83</v>
      </c>
      <c r="G27" s="83" t="s">
        <v>59</v>
      </c>
      <c r="H27" s="227" t="s">
        <v>57</v>
      </c>
    </row>
    <row r="28" spans="1:11" ht="18">
      <c r="A28" s="183" t="s">
        <v>51</v>
      </c>
      <c r="B28" s="83">
        <v>30705</v>
      </c>
      <c r="C28" s="132">
        <v>24300</v>
      </c>
      <c r="D28" s="132">
        <v>24140</v>
      </c>
      <c r="E28" s="83">
        <v>16302</v>
      </c>
      <c r="F28" s="83">
        <v>400</v>
      </c>
      <c r="G28" s="83">
        <f>400*0.58</f>
        <v>231.99999999999997</v>
      </c>
      <c r="H28" s="227">
        <f>+E28+G28</f>
        <v>16534</v>
      </c>
    </row>
    <row r="29" spans="1:11" ht="18">
      <c r="A29" s="183" t="s">
        <v>52</v>
      </c>
      <c r="B29" s="83"/>
      <c r="C29" s="132">
        <v>9120</v>
      </c>
      <c r="D29" s="132">
        <v>9080</v>
      </c>
      <c r="E29" s="83">
        <v>5370</v>
      </c>
      <c r="F29" s="83">
        <v>900</v>
      </c>
      <c r="G29" s="83">
        <f>900*0.8</f>
        <v>720</v>
      </c>
      <c r="H29" s="227">
        <f t="shared" ref="H29:H30" si="2">+E29+G29</f>
        <v>6090</v>
      </c>
    </row>
    <row r="30" spans="1:11" ht="18">
      <c r="A30" s="184" t="s">
        <v>53</v>
      </c>
      <c r="B30" s="22"/>
      <c r="C30" s="233"/>
      <c r="D30" s="233">
        <v>16100</v>
      </c>
      <c r="E30" s="93">
        <v>8001</v>
      </c>
      <c r="F30" s="22">
        <v>1500</v>
      </c>
      <c r="G30" s="22">
        <f>1500*0.5</f>
        <v>750</v>
      </c>
      <c r="H30" s="228">
        <f t="shared" si="2"/>
        <v>8751</v>
      </c>
    </row>
    <row r="31" spans="1:11" ht="15.75" thickBot="1">
      <c r="A31" s="185"/>
      <c r="B31" s="169">
        <f>SUM(B28:B30)</f>
        <v>30705</v>
      </c>
      <c r="C31" s="234">
        <f t="shared" ref="C31:D31" si="3">SUM(C28:C30)</f>
        <v>33420</v>
      </c>
      <c r="D31" s="234">
        <f t="shared" si="3"/>
        <v>49320</v>
      </c>
      <c r="E31" s="80"/>
      <c r="F31" s="80"/>
      <c r="G31" s="229" t="s">
        <v>74</v>
      </c>
      <c r="H31" s="230">
        <f>SUM(H28:H30)</f>
        <v>31375</v>
      </c>
    </row>
    <row r="32" spans="1:11" ht="15.75" thickBot="1">
      <c r="B32" s="11"/>
      <c r="C32" s="11"/>
      <c r="D32" s="11"/>
      <c r="G32" s="196"/>
      <c r="H32" s="11"/>
    </row>
    <row r="33" spans="1:18">
      <c r="A33" s="253" t="s">
        <v>60</v>
      </c>
      <c r="B33" s="244"/>
      <c r="C33" s="244"/>
      <c r="D33" s="246" t="s">
        <v>61</v>
      </c>
      <c r="E33" s="244"/>
      <c r="F33" s="247"/>
      <c r="G33" s="243" t="s">
        <v>62</v>
      </c>
      <c r="H33" s="244"/>
      <c r="I33" s="244"/>
      <c r="J33" s="245"/>
    </row>
    <row r="34" spans="1:18">
      <c r="A34" s="82" t="s">
        <v>136</v>
      </c>
      <c r="B34" s="83" t="s">
        <v>137</v>
      </c>
      <c r="C34" s="84" t="s">
        <v>111</v>
      </c>
      <c r="D34" s="90" t="s">
        <v>136</v>
      </c>
      <c r="E34" s="83" t="s">
        <v>137</v>
      </c>
      <c r="F34" s="91" t="s">
        <v>111</v>
      </c>
      <c r="G34" s="83" t="s">
        <v>136</v>
      </c>
      <c r="H34" s="83" t="s">
        <v>137</v>
      </c>
      <c r="I34" s="84" t="s">
        <v>112</v>
      </c>
      <c r="J34" s="85" t="s">
        <v>63</v>
      </c>
      <c r="K34" s="195"/>
      <c r="L34" s="8"/>
      <c r="M34" s="8"/>
      <c r="N34" s="8"/>
      <c r="O34" s="8"/>
      <c r="P34" s="8"/>
      <c r="Q34" s="8"/>
      <c r="R34" s="8"/>
    </row>
    <row r="35" spans="1:18">
      <c r="A35" s="82">
        <v>9140</v>
      </c>
      <c r="B35" s="83">
        <v>8956</v>
      </c>
      <c r="C35" s="254">
        <v>0.4</v>
      </c>
      <c r="D35" s="90"/>
      <c r="E35" s="83"/>
      <c r="F35" s="92">
        <v>0.25</v>
      </c>
      <c r="G35" s="83">
        <v>3220</v>
      </c>
      <c r="H35" s="83">
        <v>2962</v>
      </c>
      <c r="I35" s="86">
        <v>0.1</v>
      </c>
      <c r="J35" s="85">
        <f>+H35/I35</f>
        <v>29620</v>
      </c>
      <c r="K35" s="195"/>
      <c r="L35" s="8"/>
      <c r="M35" s="8"/>
      <c r="N35" s="8"/>
      <c r="O35" s="8"/>
      <c r="P35" s="8"/>
      <c r="Q35" s="8"/>
      <c r="R35" s="8"/>
    </row>
    <row r="36" spans="1:18">
      <c r="A36" s="82">
        <v>3110</v>
      </c>
      <c r="B36" s="83">
        <v>3048</v>
      </c>
      <c r="C36" s="84"/>
      <c r="D36" s="90">
        <v>1690</v>
      </c>
      <c r="E36" s="83">
        <f>+D36*0.95</f>
        <v>1605.5</v>
      </c>
      <c r="F36" s="91"/>
      <c r="G36" s="83"/>
      <c r="H36" s="83"/>
      <c r="I36" s="83"/>
      <c r="J36" s="85"/>
      <c r="K36" s="195"/>
      <c r="L36" s="8"/>
      <c r="M36" s="8"/>
      <c r="N36" s="8"/>
      <c r="O36" s="8"/>
      <c r="P36" s="8"/>
      <c r="Q36" s="8"/>
      <c r="R36" s="8"/>
    </row>
    <row r="37" spans="1:18">
      <c r="A37" s="87"/>
      <c r="B37" s="22"/>
      <c r="C37" s="25"/>
      <c r="D37" s="93">
        <v>5420</v>
      </c>
      <c r="E37" s="22">
        <f>+D37*0.95</f>
        <v>5149</v>
      </c>
      <c r="F37" s="94"/>
      <c r="G37" s="22">
        <v>2530</v>
      </c>
      <c r="H37" s="22">
        <v>2327</v>
      </c>
      <c r="I37" s="22"/>
      <c r="J37" s="88">
        <f>+H37/I35</f>
        <v>23270</v>
      </c>
      <c r="K37" s="195"/>
      <c r="L37" s="8"/>
      <c r="M37" s="8"/>
      <c r="N37" s="8"/>
      <c r="O37" s="8"/>
      <c r="P37" s="8"/>
      <c r="Q37" s="8"/>
      <c r="R37" s="8"/>
    </row>
    <row r="38" spans="1:18">
      <c r="A38" s="82"/>
      <c r="B38" s="83">
        <f>SUM(B35:B37)</f>
        <v>12004</v>
      </c>
      <c r="C38" s="84">
        <f>+B38/C35</f>
        <v>30010</v>
      </c>
      <c r="D38" s="90"/>
      <c r="E38" s="83">
        <f>SUM(E35:E37)</f>
        <v>6754.5</v>
      </c>
      <c r="F38" s="91">
        <f>+E38/F35</f>
        <v>27018</v>
      </c>
      <c r="G38" s="83"/>
      <c r="H38" s="83">
        <f>SUM(H35:H37)</f>
        <v>5289</v>
      </c>
      <c r="I38" s="83"/>
      <c r="J38" s="85">
        <f>SUM(J35:J37)</f>
        <v>52890</v>
      </c>
      <c r="K38" s="195"/>
      <c r="L38" s="8"/>
      <c r="M38" s="8"/>
      <c r="N38" s="8"/>
      <c r="O38" s="8"/>
      <c r="P38" s="8"/>
      <c r="Q38" s="8"/>
      <c r="R38" s="8"/>
    </row>
    <row r="39" spans="1:18" ht="15.75" thickBot="1">
      <c r="A39" s="79"/>
      <c r="B39" s="80"/>
      <c r="C39" s="89"/>
      <c r="D39" s="80"/>
      <c r="E39" s="80"/>
      <c r="F39" s="80"/>
      <c r="G39" s="80"/>
      <c r="H39" s="80"/>
      <c r="I39" s="80"/>
      <c r="J39" s="81"/>
      <c r="K39" s="195"/>
      <c r="L39" s="8"/>
      <c r="M39" s="8"/>
      <c r="N39" s="8"/>
      <c r="O39" s="8"/>
      <c r="P39" s="8"/>
      <c r="Q39" s="8"/>
      <c r="R39" s="8"/>
    </row>
    <row r="40" spans="1:18" ht="15.75" thickBot="1">
      <c r="I40" s="8"/>
      <c r="J40" s="8"/>
      <c r="K40" s="195"/>
      <c r="L40" s="8"/>
      <c r="M40" s="8"/>
      <c r="N40" s="8"/>
      <c r="O40" s="8"/>
      <c r="P40" s="8"/>
      <c r="Q40" s="8"/>
      <c r="R40" s="8"/>
    </row>
    <row r="41" spans="1:18" ht="18">
      <c r="A41" s="194" t="s">
        <v>174</v>
      </c>
      <c r="B41" s="100" t="s">
        <v>47</v>
      </c>
      <c r="C41" s="192" t="s">
        <v>48</v>
      </c>
      <c r="D41" s="192" t="s">
        <v>49</v>
      </c>
      <c r="E41" s="192" t="s">
        <v>2</v>
      </c>
      <c r="F41" s="192" t="s">
        <v>54</v>
      </c>
      <c r="G41" s="193" t="s">
        <v>72</v>
      </c>
    </row>
    <row r="42" spans="1:18" ht="18">
      <c r="A42" s="183" t="s">
        <v>51</v>
      </c>
      <c r="B42" s="178">
        <v>310</v>
      </c>
      <c r="C42" s="186">
        <v>238</v>
      </c>
      <c r="D42" s="186">
        <v>220</v>
      </c>
      <c r="E42" s="187">
        <f>SUM(B42:D42)</f>
        <v>768</v>
      </c>
      <c r="F42" s="134">
        <v>14.2</v>
      </c>
      <c r="G42" s="179">
        <f>+E42*$F$42</f>
        <v>10905.599999999999</v>
      </c>
      <c r="L42" s="24"/>
    </row>
    <row r="43" spans="1:18" ht="18">
      <c r="A43" s="183" t="s">
        <v>52</v>
      </c>
      <c r="B43" s="178"/>
      <c r="C43" s="186">
        <v>130</v>
      </c>
      <c r="D43" s="186">
        <v>110</v>
      </c>
      <c r="E43" s="187">
        <f>SUM(B43:D43)</f>
        <v>240</v>
      </c>
      <c r="F43" s="133"/>
      <c r="G43" s="179">
        <f>+E43*$F$42</f>
        <v>3408</v>
      </c>
    </row>
    <row r="44" spans="1:18" ht="18">
      <c r="A44" s="184" t="s">
        <v>53</v>
      </c>
      <c r="B44" s="43"/>
      <c r="C44" s="188"/>
      <c r="D44" s="188">
        <v>380</v>
      </c>
      <c r="E44" s="189">
        <f>SUM(B44:D44)</f>
        <v>380</v>
      </c>
      <c r="F44" s="133"/>
      <c r="G44" s="180">
        <f>+E44*$F$42</f>
        <v>5396</v>
      </c>
    </row>
    <row r="45" spans="1:18" ht="15.75" thickBot="1">
      <c r="A45" s="185"/>
      <c r="B45" s="181">
        <f>SUM(B42:B44)</f>
        <v>310</v>
      </c>
      <c r="C45" s="190">
        <f t="shared" ref="C45" si="4">SUM(C42:C44)</f>
        <v>368</v>
      </c>
      <c r="D45" s="190">
        <f t="shared" ref="D45:E45" si="5">SUM(D42:D44)</f>
        <v>710</v>
      </c>
      <c r="E45" s="190">
        <f t="shared" si="5"/>
        <v>1388</v>
      </c>
      <c r="F45" s="191"/>
      <c r="G45" s="182">
        <f>+E45*F42</f>
        <v>19709.599999999999</v>
      </c>
    </row>
    <row r="46" spans="1:18" ht="15.75" thickBot="1">
      <c r="A46" s="8"/>
      <c r="B46" s="8"/>
      <c r="C46" s="8"/>
      <c r="D46" s="8"/>
      <c r="E46" s="8"/>
      <c r="F46" s="8"/>
      <c r="G46" s="8"/>
      <c r="H46" s="8"/>
    </row>
    <row r="47" spans="1:18" ht="18">
      <c r="A47" s="204" t="s">
        <v>175</v>
      </c>
      <c r="B47" s="205" t="s">
        <v>87</v>
      </c>
      <c r="C47" s="206" t="s">
        <v>88</v>
      </c>
      <c r="D47" s="206" t="s">
        <v>91</v>
      </c>
      <c r="E47" s="206" t="s">
        <v>90</v>
      </c>
      <c r="F47" s="206" t="s">
        <v>89</v>
      </c>
      <c r="G47" s="206" t="s">
        <v>92</v>
      </c>
      <c r="H47" s="207" t="s">
        <v>2</v>
      </c>
    </row>
    <row r="48" spans="1:18">
      <c r="A48" s="177" t="s">
        <v>114</v>
      </c>
      <c r="B48" s="199">
        <v>86583</v>
      </c>
      <c r="C48" s="200">
        <v>27942</v>
      </c>
      <c r="D48" s="200">
        <v>15886</v>
      </c>
      <c r="E48" s="200">
        <v>16268</v>
      </c>
      <c r="F48" s="200">
        <v>86315</v>
      </c>
      <c r="G48" s="200">
        <v>45489</v>
      </c>
      <c r="H48" s="197">
        <f>SUM(B48:G48)</f>
        <v>278483</v>
      </c>
    </row>
    <row r="49" spans="1:8">
      <c r="A49" s="177" t="s">
        <v>115</v>
      </c>
      <c r="B49" s="201">
        <v>20390</v>
      </c>
      <c r="C49" s="187">
        <v>29200</v>
      </c>
      <c r="D49" s="187">
        <v>7410</v>
      </c>
      <c r="E49" s="187">
        <v>6420</v>
      </c>
      <c r="F49" s="187">
        <v>20120</v>
      </c>
      <c r="G49" s="187">
        <v>23010</v>
      </c>
      <c r="H49" s="166"/>
    </row>
    <row r="50" spans="1:8" ht="18.75" thickBot="1">
      <c r="A50" s="198" t="s">
        <v>116</v>
      </c>
      <c r="B50" s="202">
        <f>+B48/B49</f>
        <v>4.2463462481608634</v>
      </c>
      <c r="C50" s="203">
        <f t="shared" ref="C50:G50" si="6">+C48/C49</f>
        <v>0.95691780821917805</v>
      </c>
      <c r="D50" s="203">
        <f t="shared" si="6"/>
        <v>2.143859649122807</v>
      </c>
      <c r="E50" s="203">
        <f t="shared" si="6"/>
        <v>2.5339563862928349</v>
      </c>
      <c r="F50" s="203">
        <f t="shared" si="6"/>
        <v>4.2900099403578533</v>
      </c>
      <c r="G50" s="203">
        <f t="shared" si="6"/>
        <v>1.976923076923077</v>
      </c>
      <c r="H50" s="81"/>
    </row>
  </sheetData>
  <mergeCells count="7">
    <mergeCell ref="G33:J33"/>
    <mergeCell ref="D33:F33"/>
    <mergeCell ref="B20:C20"/>
    <mergeCell ref="D20:E20"/>
    <mergeCell ref="F20:G20"/>
    <mergeCell ref="A33:C33"/>
    <mergeCell ref="E26:H26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K9"/>
  <sheetViews>
    <sheetView workbookViewId="0">
      <selection activeCell="G13" sqref="G13"/>
    </sheetView>
  </sheetViews>
  <sheetFormatPr baseColWidth="10" defaultRowHeight="15"/>
  <cols>
    <col min="2" max="2" width="14.42578125" bestFit="1" customWidth="1"/>
    <col min="3" max="3" width="12.28515625" customWidth="1"/>
    <col min="4" max="4" width="14.42578125" bestFit="1" customWidth="1"/>
    <col min="5" max="5" width="14" customWidth="1"/>
    <col min="6" max="6" width="14.42578125" bestFit="1" customWidth="1"/>
    <col min="7" max="7" width="12" bestFit="1" customWidth="1"/>
    <col min="8" max="8" width="14.42578125" bestFit="1" customWidth="1"/>
    <col min="10" max="10" width="12" bestFit="1" customWidth="1"/>
  </cols>
  <sheetData>
    <row r="3" spans="2:11" ht="15.75" thickBot="1"/>
    <row r="4" spans="2:11" ht="31.5" customHeight="1" thickTop="1" thickBot="1">
      <c r="B4" s="5" t="s">
        <v>31</v>
      </c>
      <c r="D4" s="5" t="s">
        <v>32</v>
      </c>
      <c r="F4" s="5" t="s">
        <v>33</v>
      </c>
      <c r="J4" s="4" t="s">
        <v>23</v>
      </c>
      <c r="K4" s="6" t="s">
        <v>131</v>
      </c>
    </row>
    <row r="5" spans="2:11" ht="19.5" thickTop="1" thickBot="1">
      <c r="C5" s="14" t="s">
        <v>51</v>
      </c>
      <c r="E5" s="14" t="s">
        <v>55</v>
      </c>
      <c r="G5" s="14" t="s">
        <v>56</v>
      </c>
    </row>
    <row r="6" spans="2:11" ht="32.25" customHeight="1" thickTop="1" thickBot="1">
      <c r="B6" s="7" t="s">
        <v>27</v>
      </c>
      <c r="D6" s="7" t="s">
        <v>28</v>
      </c>
      <c r="F6" s="7" t="s">
        <v>29</v>
      </c>
      <c r="H6" s="7" t="s">
        <v>30</v>
      </c>
      <c r="J6" s="4" t="s">
        <v>24</v>
      </c>
      <c r="K6" s="6" t="s">
        <v>26</v>
      </c>
    </row>
    <row r="7" spans="2:11" ht="16.5" thickTop="1" thickBot="1"/>
    <row r="8" spans="2:11" ht="31.5" customHeight="1" thickTop="1" thickBot="1">
      <c r="J8" s="4" t="s">
        <v>25</v>
      </c>
      <c r="K8" s="6" t="s">
        <v>132</v>
      </c>
    </row>
    <row r="9" spans="2:11" ht="15.75" thickTop="1"/>
  </sheetData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SOLUCIÓN</vt:lpstr>
      <vt:lpstr>DATOS</vt:lpstr>
      <vt:lpstr>DIAGRAMA PRODUCCIÓN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</dc:creator>
  <cp:lastModifiedBy>Emma</cp:lastModifiedBy>
  <dcterms:created xsi:type="dcterms:W3CDTF">2014-12-04T11:27:52Z</dcterms:created>
  <dcterms:modified xsi:type="dcterms:W3CDTF">2015-02-04T08:52:17Z</dcterms:modified>
</cp:coreProperties>
</file>